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2.xml" ContentType="application/vnd.openxmlformats-officedocument.spreadsheetml.comment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fileSharing userName="Massimiliano" reservationPassword="E147"/>
  <workbookPr updateLinks="never" autoCompressPictures="0"/>
  <bookViews>
    <workbookView xWindow="480" yWindow="480" windowWidth="25120" windowHeight="14120" tabRatio="566" firstSheet="30" activeTab="31"/>
  </bookViews>
  <sheets>
    <sheet name="Foglio1" sheetId="15" state="hidden" r:id="rId1"/>
    <sheet name="PEF_Campagna Lupia" sheetId="1" r:id="rId2"/>
    <sheet name="PEF_Campolongo Maggiore" sheetId="5" r:id="rId3"/>
    <sheet name="PEF_Camponogara" sheetId="6" r:id="rId4"/>
    <sheet name="PEF_Cavallino-treporti" sheetId="8" r:id="rId5"/>
    <sheet name="PEF_Cavarzere" sheetId="9" r:id="rId6"/>
    <sheet name="PEF_Ceggia" sheetId="10" r:id="rId7"/>
    <sheet name="PEF_Chioggia" sheetId="11" r:id="rId8"/>
    <sheet name="PEF_Cona" sheetId="12" r:id="rId9"/>
    <sheet name="PEF_Dolo" sheetId="13" r:id="rId10"/>
    <sheet name="PEF_Eraclea" sheetId="14" r:id="rId11"/>
    <sheet name="PEF_Fiesso d'Artico" sheetId="16" r:id="rId12"/>
    <sheet name="PEF_Fossalta di Piave" sheetId="18" r:id="rId13"/>
    <sheet name="PEF_Fossò" sheetId="19" r:id="rId14"/>
    <sheet name="PEF_Jesolo" sheetId="20" r:id="rId15"/>
    <sheet name="PEF_Marcon" sheetId="21" r:id="rId16"/>
    <sheet name="PEF_Martellago" sheetId="22" r:id="rId17"/>
    <sheet name="PEF_Meolo" sheetId="23" r:id="rId18"/>
    <sheet name="PEF_Mira" sheetId="24" r:id="rId19"/>
    <sheet name="PEF_Mirano" sheetId="25" r:id="rId20"/>
    <sheet name="PEF_Mogliano Veneto" sheetId="26" r:id="rId21"/>
    <sheet name="PEF_Musile di Piave" sheetId="27" r:id="rId22"/>
    <sheet name="PEF_Noale" sheetId="28" r:id="rId23"/>
    <sheet name="PEF_Noventa di Piave" sheetId="29" r:id="rId24"/>
    <sheet name="PEF_Pianiga" sheetId="30" r:id="rId25"/>
    <sheet name="PEF_Quarto d'Altino" sheetId="31" r:id="rId26"/>
    <sheet name="PEF_Salzano" sheetId="32" r:id="rId27"/>
    <sheet name="PEF_San Donà di Piave" sheetId="33" r:id="rId28"/>
    <sheet name="PEF_Santa Maria di Sala" sheetId="34" r:id="rId29"/>
    <sheet name="PEF_Scorzè" sheetId="35" r:id="rId30"/>
    <sheet name="PEF_Spinea" sheetId="36" r:id="rId31"/>
    <sheet name="PEF_Stra" sheetId="37" r:id="rId32"/>
    <sheet name="PEF_Torre di Mosto" sheetId="38" r:id="rId33"/>
    <sheet name="PEF_Venezia" sheetId="39" r:id="rId34"/>
    <sheet name="PEF_Vigonovo" sheetId="42" r:id="rId35"/>
    <sheet name="REM_ToolEnrico" sheetId="3" r:id="rId36"/>
    <sheet name="REM_ToolEnrico_detterreni" sheetId="4" r:id="rId37"/>
  </sheets>
  <externalReferences>
    <externalReference r:id="rId38"/>
    <externalReference r:id="rId39"/>
    <externalReference r:id="rId40"/>
  </externalReferences>
  <definedNames>
    <definedName name="Elenco_Cespiti">INDEX([1]!Categoria_Cespite[#Data],,[1]IN_Cespiti_20!XFB1)</definedName>
  </definedNames>
  <calcPr calcId="140001" iterateDelta="1E-4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42" l="1"/>
  <c r="K51" i="39"/>
  <c r="J51" i="39"/>
  <c r="H51" i="39"/>
  <c r="G51" i="39"/>
  <c r="E51" i="39"/>
  <c r="D51" i="22"/>
  <c r="D49" i="11"/>
  <c r="E44" i="38"/>
  <c r="D20" i="24"/>
  <c r="D44" i="24"/>
  <c r="J44" i="24"/>
  <c r="J20" i="24"/>
  <c r="J44" i="13"/>
  <c r="J20" i="13"/>
  <c r="M19" i="11"/>
  <c r="J19" i="11"/>
  <c r="G19" i="11"/>
  <c r="D19" i="11"/>
  <c r="D31" i="11"/>
  <c r="J51" i="42"/>
  <c r="G51" i="42"/>
  <c r="D51" i="42"/>
  <c r="N51" i="38"/>
  <c r="M51" i="38"/>
  <c r="K51" i="38"/>
  <c r="J51" i="38"/>
  <c r="H51" i="38"/>
  <c r="G51" i="38"/>
  <c r="E51" i="38"/>
  <c r="D51" i="38"/>
  <c r="M51" i="37"/>
  <c r="J51" i="37"/>
  <c r="G51" i="37"/>
  <c r="D51" i="37"/>
  <c r="M51" i="33"/>
  <c r="J51" i="33"/>
  <c r="G51" i="33"/>
  <c r="D51" i="33"/>
  <c r="N51" i="30"/>
  <c r="M51" i="30"/>
  <c r="K51" i="30"/>
  <c r="J51" i="30"/>
  <c r="H51" i="30"/>
  <c r="G51" i="30"/>
  <c r="E51" i="30"/>
  <c r="D51" i="30"/>
  <c r="N51" i="29"/>
  <c r="M51" i="29"/>
  <c r="K51" i="29"/>
  <c r="J51" i="29"/>
  <c r="H51" i="29"/>
  <c r="G51" i="29"/>
  <c r="E51" i="29"/>
  <c r="D51" i="29"/>
  <c r="N51" i="28"/>
  <c r="M51" i="28"/>
  <c r="K51" i="28"/>
  <c r="J51" i="28"/>
  <c r="H51" i="28"/>
  <c r="G51" i="28"/>
  <c r="E51" i="28"/>
  <c r="D51" i="28"/>
  <c r="N51" i="27"/>
  <c r="M51" i="27"/>
  <c r="K51" i="27"/>
  <c r="J51" i="27"/>
  <c r="H51" i="27"/>
  <c r="G51" i="27"/>
  <c r="E51" i="27"/>
  <c r="D51" i="27"/>
  <c r="N51" i="26"/>
  <c r="M51" i="26"/>
  <c r="K51" i="26"/>
  <c r="J51" i="26"/>
  <c r="H51" i="26"/>
  <c r="G51" i="26"/>
  <c r="E51" i="26"/>
  <c r="D51" i="26"/>
  <c r="M51" i="23"/>
  <c r="J51" i="23"/>
  <c r="G51" i="23"/>
  <c r="D51" i="23"/>
  <c r="M51" i="19"/>
  <c r="J51" i="19"/>
  <c r="G51" i="19"/>
  <c r="D51" i="19"/>
  <c r="M51" i="18"/>
  <c r="J51" i="18"/>
  <c r="G51" i="18"/>
  <c r="D51" i="18"/>
  <c r="G44" i="16"/>
  <c r="G20" i="16"/>
  <c r="M51" i="16"/>
  <c r="J51" i="16"/>
  <c r="D51" i="16"/>
  <c r="K51" i="14"/>
  <c r="N51" i="14"/>
  <c r="M51" i="14"/>
  <c r="J51" i="14"/>
  <c r="H51" i="14"/>
  <c r="G51" i="14"/>
  <c r="E51" i="14"/>
  <c r="D51" i="14"/>
  <c r="N51" i="12"/>
  <c r="M51" i="12"/>
  <c r="K51" i="12"/>
  <c r="J51" i="12"/>
  <c r="H51" i="12"/>
  <c r="G51" i="12"/>
  <c r="E51" i="12"/>
  <c r="D51" i="12"/>
  <c r="M51" i="31"/>
  <c r="J51" i="31"/>
  <c r="G51" i="31"/>
  <c r="D51" i="31"/>
  <c r="G4" i="31"/>
  <c r="M51" i="13"/>
  <c r="J51" i="13"/>
  <c r="G51" i="13"/>
  <c r="D51" i="13"/>
  <c r="G51" i="16"/>
  <c r="M51" i="34"/>
  <c r="J51" i="34"/>
  <c r="G51" i="34"/>
  <c r="D51" i="34"/>
  <c r="N51" i="32"/>
  <c r="M51" i="32"/>
  <c r="K51" i="32"/>
  <c r="J51" i="32"/>
  <c r="H51" i="32"/>
  <c r="G51" i="32"/>
  <c r="E51" i="32"/>
  <c r="D51" i="32"/>
  <c r="M51" i="25"/>
  <c r="J51" i="25"/>
  <c r="G51" i="25"/>
  <c r="D51" i="25"/>
  <c r="M51" i="24"/>
  <c r="J51" i="24"/>
  <c r="G51" i="24"/>
  <c r="D51" i="24"/>
  <c r="M51" i="21"/>
  <c r="J51" i="21"/>
  <c r="G51" i="21"/>
  <c r="N51" i="36"/>
  <c r="M51" i="36"/>
  <c r="K51" i="36"/>
  <c r="J51" i="36"/>
  <c r="H51" i="36"/>
  <c r="G51" i="36"/>
  <c r="E51" i="36"/>
  <c r="D51" i="36"/>
  <c r="N51" i="35"/>
  <c r="M51" i="35"/>
  <c r="K51" i="35"/>
  <c r="J51" i="35"/>
  <c r="H51" i="35"/>
  <c r="G51" i="35"/>
  <c r="E51" i="35"/>
  <c r="D51" i="35"/>
  <c r="N51" i="22"/>
  <c r="M51" i="22"/>
  <c r="K51" i="22"/>
  <c r="J51" i="22"/>
  <c r="H51" i="22"/>
  <c r="G51" i="22"/>
  <c r="E51" i="22"/>
  <c r="J51" i="20"/>
  <c r="N51" i="20"/>
  <c r="M51" i="20"/>
  <c r="K51" i="20"/>
  <c r="H51" i="20"/>
  <c r="G51" i="20"/>
  <c r="E51" i="20"/>
  <c r="D51" i="20"/>
  <c r="J51" i="11"/>
  <c r="K44" i="11"/>
  <c r="K51" i="11"/>
  <c r="H44" i="11"/>
  <c r="H51" i="11"/>
  <c r="N51" i="11"/>
  <c r="M51" i="11"/>
  <c r="G51" i="11"/>
  <c r="E51" i="11"/>
  <c r="D51" i="11"/>
  <c r="N51" i="10"/>
  <c r="M51" i="10"/>
  <c r="K51" i="10"/>
  <c r="J51" i="10"/>
  <c r="H51" i="10"/>
  <c r="G51" i="10"/>
  <c r="E51" i="10"/>
  <c r="D51" i="10"/>
  <c r="E51" i="9"/>
  <c r="H51" i="9"/>
  <c r="K51" i="9"/>
  <c r="N51" i="9"/>
  <c r="M51" i="9"/>
  <c r="J51" i="9"/>
  <c r="G51" i="9"/>
  <c r="D51" i="9"/>
  <c r="N98" i="8"/>
  <c r="M98" i="8"/>
  <c r="K98" i="8"/>
  <c r="J98" i="8"/>
  <c r="H98" i="8"/>
  <c r="G98" i="8"/>
  <c r="E98" i="8"/>
  <c r="D98" i="8"/>
  <c r="O92" i="8"/>
  <c r="L92" i="8"/>
  <c r="I92" i="8"/>
  <c r="F92" i="8"/>
  <c r="H83" i="8"/>
  <c r="E83" i="8"/>
  <c r="N51" i="8"/>
  <c r="M51" i="8"/>
  <c r="K51" i="8"/>
  <c r="J51" i="8"/>
  <c r="H51" i="8"/>
  <c r="G51" i="8"/>
  <c r="E51" i="8"/>
  <c r="D51" i="8"/>
  <c r="O46" i="8"/>
  <c r="L46" i="8"/>
  <c r="I46" i="8"/>
  <c r="O44" i="8"/>
  <c r="L44" i="8"/>
  <c r="I44" i="8"/>
  <c r="F44" i="8"/>
  <c r="O43" i="8"/>
  <c r="L43" i="8"/>
  <c r="I43" i="8"/>
  <c r="F43" i="8"/>
  <c r="O42" i="8"/>
  <c r="L42" i="8"/>
  <c r="I42" i="8"/>
  <c r="F42" i="8"/>
  <c r="O41" i="8"/>
  <c r="L41" i="8"/>
  <c r="I41" i="8"/>
  <c r="F41" i="8"/>
  <c r="E32" i="8"/>
  <c r="E40" i="8"/>
  <c r="O39" i="8"/>
  <c r="L39" i="8"/>
  <c r="I39" i="8"/>
  <c r="F39" i="8"/>
  <c r="O38" i="8"/>
  <c r="L38" i="8"/>
  <c r="I38" i="8"/>
  <c r="F38" i="8"/>
  <c r="M37" i="8"/>
  <c r="M32" i="8"/>
  <c r="M31" i="8"/>
  <c r="M40" i="8"/>
  <c r="N32" i="8"/>
  <c r="N40" i="8"/>
  <c r="O40" i="8"/>
  <c r="J37" i="8"/>
  <c r="J32" i="8"/>
  <c r="J31" i="8"/>
  <c r="J40" i="8"/>
  <c r="K32" i="8"/>
  <c r="K40" i="8"/>
  <c r="L40" i="8"/>
  <c r="G37" i="8"/>
  <c r="G32" i="8"/>
  <c r="G31" i="8"/>
  <c r="G40" i="8"/>
  <c r="D37" i="8"/>
  <c r="D32" i="8"/>
  <c r="D31" i="8"/>
  <c r="D40" i="8"/>
  <c r="O36" i="8"/>
  <c r="L36" i="8"/>
  <c r="I36" i="8"/>
  <c r="F36" i="8"/>
  <c r="O35" i="8"/>
  <c r="L35" i="8"/>
  <c r="I35" i="8"/>
  <c r="F35" i="8"/>
  <c r="O34" i="8"/>
  <c r="L34" i="8"/>
  <c r="I34" i="8"/>
  <c r="F34" i="8"/>
  <c r="O33" i="8"/>
  <c r="L33" i="8"/>
  <c r="I33" i="8"/>
  <c r="F33" i="8"/>
  <c r="O32" i="8"/>
  <c r="L32" i="8"/>
  <c r="H32" i="8"/>
  <c r="I32" i="8"/>
  <c r="O31" i="8"/>
  <c r="L31" i="8"/>
  <c r="I31" i="8"/>
  <c r="F31" i="8"/>
  <c r="N30" i="8"/>
  <c r="M30" i="8"/>
  <c r="K30" i="8"/>
  <c r="J30" i="8"/>
  <c r="H30" i="8"/>
  <c r="G30" i="8"/>
  <c r="E30" i="8"/>
  <c r="D30" i="8"/>
  <c r="O29" i="8"/>
  <c r="L29" i="8"/>
  <c r="I29" i="8"/>
  <c r="F29" i="8"/>
  <c r="O28" i="8"/>
  <c r="L28" i="8"/>
  <c r="I28" i="8"/>
  <c r="F28" i="8"/>
  <c r="O27" i="8"/>
  <c r="L27" i="8"/>
  <c r="I27" i="8"/>
  <c r="F27" i="8"/>
  <c r="O26" i="8"/>
  <c r="L26" i="8"/>
  <c r="I26" i="8"/>
  <c r="F26" i="8"/>
  <c r="O25" i="8"/>
  <c r="L25" i="8"/>
  <c r="I25" i="8"/>
  <c r="F25" i="8"/>
  <c r="D23" i="8"/>
  <c r="E21" i="8"/>
  <c r="E23" i="8"/>
  <c r="F21" i="8"/>
  <c r="O20" i="8"/>
  <c r="O98" i="8"/>
  <c r="L20" i="8"/>
  <c r="L98" i="8"/>
  <c r="I20" i="8"/>
  <c r="F20" i="8"/>
  <c r="F98" i="8"/>
  <c r="O19" i="8"/>
  <c r="L19" i="8"/>
  <c r="I19" i="8"/>
  <c r="F19" i="8"/>
  <c r="O18" i="8"/>
  <c r="L18" i="8"/>
  <c r="I18" i="8"/>
  <c r="F18" i="8"/>
  <c r="O17" i="8"/>
  <c r="I17" i="8"/>
  <c r="F17" i="8"/>
  <c r="O16" i="8"/>
  <c r="L16" i="8"/>
  <c r="I16" i="8"/>
  <c r="F16" i="8"/>
  <c r="O15" i="8"/>
  <c r="L15" i="8"/>
  <c r="I15" i="8"/>
  <c r="F15" i="8"/>
  <c r="O14" i="8"/>
  <c r="L14" i="8"/>
  <c r="I14" i="8"/>
  <c r="F14" i="8"/>
  <c r="O13" i="8"/>
  <c r="L13" i="8"/>
  <c r="I13" i="8"/>
  <c r="F13" i="8"/>
  <c r="O12" i="8"/>
  <c r="L12" i="8"/>
  <c r="I12" i="8"/>
  <c r="F12" i="8"/>
  <c r="O11" i="8"/>
  <c r="L11" i="8"/>
  <c r="I11" i="8"/>
  <c r="F11" i="8"/>
  <c r="O10" i="8"/>
  <c r="L10" i="8"/>
  <c r="I10" i="8"/>
  <c r="F10" i="8"/>
  <c r="O9" i="8"/>
  <c r="L9" i="8"/>
  <c r="I9" i="8"/>
  <c r="F9" i="8"/>
  <c r="O8" i="8"/>
  <c r="L8" i="8"/>
  <c r="I8" i="8"/>
  <c r="F8" i="8"/>
  <c r="O7" i="8"/>
  <c r="L7" i="8"/>
  <c r="I7" i="8"/>
  <c r="F7" i="8"/>
  <c r="O6" i="8"/>
  <c r="L6" i="8"/>
  <c r="I6" i="8"/>
  <c r="F6" i="8"/>
  <c r="M4" i="8"/>
  <c r="J4" i="8"/>
  <c r="G4" i="8"/>
  <c r="B1" i="8"/>
  <c r="O37" i="8"/>
  <c r="I98" i="8"/>
  <c r="H40" i="8"/>
  <c r="M96" i="8"/>
  <c r="M97" i="8"/>
  <c r="D47" i="8"/>
  <c r="E45" i="8"/>
  <c r="F32" i="8"/>
  <c r="F40" i="8"/>
  <c r="F37" i="8"/>
  <c r="I40" i="8"/>
  <c r="D50" i="8"/>
  <c r="G96" i="8"/>
  <c r="G97" i="8"/>
  <c r="J47" i="8"/>
  <c r="L30" i="8"/>
  <c r="L96" i="8"/>
  <c r="L97" i="8"/>
  <c r="M47" i="8"/>
  <c r="H96" i="8"/>
  <c r="H97" i="8"/>
  <c r="F23" i="8"/>
  <c r="F30" i="8"/>
  <c r="F96" i="8"/>
  <c r="F97" i="8"/>
  <c r="G47" i="8"/>
  <c r="J96" i="8"/>
  <c r="J97" i="8"/>
  <c r="O30" i="8"/>
  <c r="I37" i="8"/>
  <c r="D96" i="8"/>
  <c r="D97" i="8"/>
  <c r="I30" i="8"/>
  <c r="L37" i="8"/>
  <c r="F45" i="8"/>
  <c r="E47" i="8"/>
  <c r="F47" i="8"/>
  <c r="E96" i="8"/>
  <c r="E97" i="8"/>
  <c r="K45" i="8"/>
  <c r="E50" i="8"/>
  <c r="N45" i="8"/>
  <c r="H45" i="8"/>
  <c r="D49" i="8"/>
  <c r="F49" i="8"/>
  <c r="F50" i="8"/>
  <c r="F72" i="8"/>
  <c r="I45" i="8"/>
  <c r="H47" i="8"/>
  <c r="I47" i="8"/>
  <c r="L45" i="8"/>
  <c r="K47" i="8"/>
  <c r="L47" i="8"/>
  <c r="O45" i="8"/>
  <c r="N47" i="8"/>
  <c r="O47" i="8"/>
  <c r="F76" i="8"/>
  <c r="F79" i="8"/>
  <c r="F78" i="8"/>
  <c r="G22" i="8"/>
  <c r="D81" i="8"/>
  <c r="F81" i="8"/>
  <c r="D82" i="8"/>
  <c r="F82" i="8"/>
  <c r="G23" i="8"/>
  <c r="I22" i="8"/>
  <c r="D83" i="8"/>
  <c r="F83" i="8"/>
  <c r="F84" i="8"/>
  <c r="F88" i="8"/>
  <c r="I73" i="8"/>
  <c r="G50" i="8"/>
  <c r="G49" i="8"/>
  <c r="H21" i="8"/>
  <c r="I74" i="8"/>
  <c r="F89" i="8"/>
  <c r="I49" i="8"/>
  <c r="I75" i="8"/>
  <c r="I21" i="8"/>
  <c r="I96" i="8"/>
  <c r="I97" i="8"/>
  <c r="H23" i="8"/>
  <c r="F90" i="8"/>
  <c r="H50" i="8"/>
  <c r="I23" i="8"/>
  <c r="I50" i="8"/>
  <c r="I72" i="8"/>
  <c r="I76" i="8"/>
  <c r="I79" i="8"/>
  <c r="I78" i="8"/>
  <c r="J22" i="8"/>
  <c r="G81" i="8"/>
  <c r="I81" i="8"/>
  <c r="G82" i="8"/>
  <c r="I82" i="8"/>
  <c r="J23" i="8"/>
  <c r="L22" i="8"/>
  <c r="N98" i="6"/>
  <c r="M98" i="6"/>
  <c r="K98" i="6"/>
  <c r="J98" i="6"/>
  <c r="H98" i="6"/>
  <c r="G98" i="6"/>
  <c r="E98" i="6"/>
  <c r="D98" i="6"/>
  <c r="O92" i="6"/>
  <c r="L92" i="6"/>
  <c r="I92" i="6"/>
  <c r="F92" i="6"/>
  <c r="N83" i="6"/>
  <c r="K83" i="6"/>
  <c r="E83" i="6"/>
  <c r="M51" i="6"/>
  <c r="J51" i="6"/>
  <c r="G51" i="6"/>
  <c r="D51" i="6"/>
  <c r="O46" i="6"/>
  <c r="L46" i="6"/>
  <c r="I46" i="6"/>
  <c r="O45" i="6"/>
  <c r="L45" i="6"/>
  <c r="I45" i="6"/>
  <c r="F45" i="6"/>
  <c r="O44" i="6"/>
  <c r="L44" i="6"/>
  <c r="I44" i="6"/>
  <c r="F44" i="6"/>
  <c r="O43" i="6"/>
  <c r="L43" i="6"/>
  <c r="I43" i="6"/>
  <c r="F43" i="6"/>
  <c r="O42" i="6"/>
  <c r="L42" i="6"/>
  <c r="I42" i="6"/>
  <c r="F42" i="6"/>
  <c r="O41" i="6"/>
  <c r="L41" i="6"/>
  <c r="I41" i="6"/>
  <c r="F41" i="6"/>
  <c r="O39" i="6"/>
  <c r="L39" i="6"/>
  <c r="I39" i="6"/>
  <c r="F39" i="6"/>
  <c r="O38" i="6"/>
  <c r="L38" i="6"/>
  <c r="I38" i="6"/>
  <c r="F38" i="6"/>
  <c r="M37" i="6"/>
  <c r="J37" i="6"/>
  <c r="L37" i="6"/>
  <c r="G37" i="6"/>
  <c r="D37" i="6"/>
  <c r="F37" i="6"/>
  <c r="O36" i="6"/>
  <c r="L36" i="6"/>
  <c r="I36" i="6"/>
  <c r="F36" i="6"/>
  <c r="O35" i="6"/>
  <c r="L35" i="6"/>
  <c r="I35" i="6"/>
  <c r="F35" i="6"/>
  <c r="O34" i="6"/>
  <c r="L34" i="6"/>
  <c r="I34" i="6"/>
  <c r="F34" i="6"/>
  <c r="O33" i="6"/>
  <c r="L33" i="6"/>
  <c r="I33" i="6"/>
  <c r="F33" i="6"/>
  <c r="N32" i="6"/>
  <c r="N40" i="6"/>
  <c r="M32" i="6"/>
  <c r="O32" i="6"/>
  <c r="K32" i="6"/>
  <c r="K40" i="6"/>
  <c r="J32" i="6"/>
  <c r="L32" i="6"/>
  <c r="H32" i="6"/>
  <c r="H40" i="6"/>
  <c r="G32" i="6"/>
  <c r="E32" i="6"/>
  <c r="E40" i="6"/>
  <c r="D32" i="6"/>
  <c r="M31" i="6"/>
  <c r="O31" i="6"/>
  <c r="J31" i="6"/>
  <c r="L31" i="6"/>
  <c r="G31" i="6"/>
  <c r="I31" i="6"/>
  <c r="D31" i="6"/>
  <c r="F31" i="6"/>
  <c r="N30" i="6"/>
  <c r="M30" i="6"/>
  <c r="K30" i="6"/>
  <c r="J30" i="6"/>
  <c r="H30" i="6"/>
  <c r="G30" i="6"/>
  <c r="E30" i="6"/>
  <c r="D30" i="6"/>
  <c r="O29" i="6"/>
  <c r="L29" i="6"/>
  <c r="I29" i="6"/>
  <c r="F29" i="6"/>
  <c r="O28" i="6"/>
  <c r="L28" i="6"/>
  <c r="I28" i="6"/>
  <c r="F28" i="6"/>
  <c r="O27" i="6"/>
  <c r="L27" i="6"/>
  <c r="I27" i="6"/>
  <c r="F27" i="6"/>
  <c r="O26" i="6"/>
  <c r="L26" i="6"/>
  <c r="I26" i="6"/>
  <c r="F26" i="6"/>
  <c r="O25" i="6"/>
  <c r="L25" i="6"/>
  <c r="I25" i="6"/>
  <c r="F25" i="6"/>
  <c r="N23" i="6"/>
  <c r="K23" i="6"/>
  <c r="H23" i="6"/>
  <c r="H81" i="6"/>
  <c r="E23" i="6"/>
  <c r="D23" i="6"/>
  <c r="F23" i="6"/>
  <c r="O21" i="6"/>
  <c r="L21" i="6"/>
  <c r="I21" i="6"/>
  <c r="F21" i="6"/>
  <c r="O20" i="6"/>
  <c r="O98" i="6"/>
  <c r="L20" i="6"/>
  <c r="L98" i="6"/>
  <c r="I20" i="6"/>
  <c r="I98" i="6"/>
  <c r="F20" i="6"/>
  <c r="F98" i="6"/>
  <c r="O19" i="6"/>
  <c r="L19" i="6"/>
  <c r="I19" i="6"/>
  <c r="F19" i="6"/>
  <c r="O18" i="6"/>
  <c r="L18" i="6"/>
  <c r="I18" i="6"/>
  <c r="F18" i="6"/>
  <c r="O17" i="6"/>
  <c r="I17" i="6"/>
  <c r="F17" i="6"/>
  <c r="O16" i="6"/>
  <c r="L16" i="6"/>
  <c r="I16" i="6"/>
  <c r="F16" i="6"/>
  <c r="O15" i="6"/>
  <c r="L15" i="6"/>
  <c r="I15" i="6"/>
  <c r="F15" i="6"/>
  <c r="O14" i="6"/>
  <c r="L14" i="6"/>
  <c r="I14" i="6"/>
  <c r="F14" i="6"/>
  <c r="O13" i="6"/>
  <c r="L13" i="6"/>
  <c r="I13" i="6"/>
  <c r="F13" i="6"/>
  <c r="O12" i="6"/>
  <c r="L12" i="6"/>
  <c r="I12" i="6"/>
  <c r="F12" i="6"/>
  <c r="O11" i="6"/>
  <c r="L11" i="6"/>
  <c r="I11" i="6"/>
  <c r="F11" i="6"/>
  <c r="O10" i="6"/>
  <c r="L10" i="6"/>
  <c r="I10" i="6"/>
  <c r="F10" i="6"/>
  <c r="O9" i="6"/>
  <c r="L9" i="6"/>
  <c r="I9" i="6"/>
  <c r="F9" i="6"/>
  <c r="O8" i="6"/>
  <c r="L8" i="6"/>
  <c r="I8" i="6"/>
  <c r="F8" i="6"/>
  <c r="O7" i="6"/>
  <c r="L7" i="6"/>
  <c r="I7" i="6"/>
  <c r="F7" i="6"/>
  <c r="O6" i="6"/>
  <c r="L6" i="6"/>
  <c r="I6" i="6"/>
  <c r="F6" i="6"/>
  <c r="M4" i="6"/>
  <c r="J4" i="6"/>
  <c r="G4" i="6"/>
  <c r="B1" i="6"/>
  <c r="F32" i="6"/>
  <c r="H96" i="6"/>
  <c r="H97" i="6"/>
  <c r="I30" i="6"/>
  <c r="M40" i="6"/>
  <c r="O40" i="6"/>
  <c r="G40" i="6"/>
  <c r="I40" i="6"/>
  <c r="I96" i="6"/>
  <c r="I97" i="6"/>
  <c r="K21" i="8"/>
  <c r="J50" i="8"/>
  <c r="L74" i="8"/>
  <c r="I89" i="8"/>
  <c r="I88" i="8"/>
  <c r="I90" i="8"/>
  <c r="L73" i="8"/>
  <c r="L75" i="8"/>
  <c r="I83" i="8"/>
  <c r="I84" i="8"/>
  <c r="G83" i="8"/>
  <c r="J40" i="6"/>
  <c r="J47" i="6"/>
  <c r="K47" i="6"/>
  <c r="K50" i="6"/>
  <c r="M47" i="6"/>
  <c r="N47" i="6"/>
  <c r="H82" i="6"/>
  <c r="H83" i="6"/>
  <c r="E47" i="6"/>
  <c r="E50" i="6"/>
  <c r="O30" i="6"/>
  <c r="O96" i="6"/>
  <c r="O97" i="6"/>
  <c r="N50" i="6"/>
  <c r="O37" i="6"/>
  <c r="H47" i="6"/>
  <c r="L30" i="6"/>
  <c r="D40" i="6"/>
  <c r="F40" i="6"/>
  <c r="I32" i="6"/>
  <c r="K96" i="6"/>
  <c r="K97" i="6"/>
  <c r="F30" i="6"/>
  <c r="I37" i="6"/>
  <c r="H50" i="6"/>
  <c r="E96" i="6"/>
  <c r="E97" i="6"/>
  <c r="M96" i="6"/>
  <c r="M97" i="6"/>
  <c r="N96" i="6"/>
  <c r="N97" i="6"/>
  <c r="O47" i="6"/>
  <c r="F96" i="6"/>
  <c r="F97" i="6"/>
  <c r="J96" i="6"/>
  <c r="J97" i="6"/>
  <c r="L40" i="6"/>
  <c r="L96" i="6"/>
  <c r="L97" i="6"/>
  <c r="G47" i="6"/>
  <c r="I47" i="6"/>
  <c r="G96" i="6"/>
  <c r="G97" i="6"/>
  <c r="J49" i="8"/>
  <c r="L49" i="8"/>
  <c r="K23" i="8"/>
  <c r="L21" i="8"/>
  <c r="K96" i="8"/>
  <c r="K97" i="8"/>
  <c r="L47" i="6"/>
  <c r="D47" i="6"/>
  <c r="D96" i="6"/>
  <c r="D97" i="6"/>
  <c r="K50" i="8"/>
  <c r="L23" i="8"/>
  <c r="L50" i="8"/>
  <c r="L72" i="8"/>
  <c r="F47" i="6"/>
  <c r="F50" i="6"/>
  <c r="F72" i="6"/>
  <c r="D50" i="6"/>
  <c r="L76" i="8"/>
  <c r="L79" i="8"/>
  <c r="L78" i="8"/>
  <c r="D49" i="6"/>
  <c r="F49" i="6"/>
  <c r="F76" i="6"/>
  <c r="F78" i="6"/>
  <c r="M22" i="8"/>
  <c r="J81" i="8"/>
  <c r="K81" i="8"/>
  <c r="F79" i="6"/>
  <c r="K82" i="8"/>
  <c r="K83" i="8"/>
  <c r="L81" i="8"/>
  <c r="J82" i="8"/>
  <c r="L82" i="8"/>
  <c r="O22" i="8"/>
  <c r="M23" i="8"/>
  <c r="G22" i="6"/>
  <c r="D81" i="6"/>
  <c r="L89" i="8"/>
  <c r="O74" i="8"/>
  <c r="M50" i="8"/>
  <c r="N21" i="8"/>
  <c r="L88" i="8"/>
  <c r="O73" i="8"/>
  <c r="O75" i="8"/>
  <c r="L83" i="8"/>
  <c r="L84" i="8"/>
  <c r="J83" i="8"/>
  <c r="G23" i="6"/>
  <c r="I22" i="6"/>
  <c r="F81" i="6"/>
  <c r="D82" i="6"/>
  <c r="F82" i="6"/>
  <c r="L90" i="8"/>
  <c r="M49" i="8"/>
  <c r="O49" i="8"/>
  <c r="O21" i="8"/>
  <c r="O96" i="8"/>
  <c r="O97" i="8"/>
  <c r="N23" i="8"/>
  <c r="N96" i="8"/>
  <c r="N97" i="8"/>
  <c r="I23" i="6"/>
  <c r="I50" i="6"/>
  <c r="I72" i="6"/>
  <c r="G50" i="6"/>
  <c r="G49" i="6"/>
  <c r="F89" i="6"/>
  <c r="I74" i="6"/>
  <c r="F83" i="6"/>
  <c r="F84" i="6"/>
  <c r="I73" i="6"/>
  <c r="F88" i="6"/>
  <c r="D83" i="6"/>
  <c r="I75" i="6"/>
  <c r="I76" i="6"/>
  <c r="I79" i="6"/>
  <c r="F90" i="6"/>
  <c r="N50" i="8"/>
  <c r="N81" i="8"/>
  <c r="O23" i="8"/>
  <c r="O50" i="8"/>
  <c r="O72" i="8"/>
  <c r="I49" i="6"/>
  <c r="I78" i="6"/>
  <c r="N82" i="8"/>
  <c r="N83" i="8"/>
  <c r="O76" i="8"/>
  <c r="O79" i="8"/>
  <c r="M81" i="8"/>
  <c r="O78" i="8"/>
  <c r="J22" i="6"/>
  <c r="G81" i="6"/>
  <c r="O81" i="8"/>
  <c r="M82" i="8"/>
  <c r="O82" i="8"/>
  <c r="O89" i="8"/>
  <c r="I81" i="6"/>
  <c r="G82" i="6"/>
  <c r="I82" i="6"/>
  <c r="L22" i="6"/>
  <c r="J23" i="6"/>
  <c r="M83" i="8"/>
  <c r="O88" i="8"/>
  <c r="O90" i="8"/>
  <c r="O83" i="8"/>
  <c r="O84" i="8"/>
  <c r="G83" i="6"/>
  <c r="L73" i="6"/>
  <c r="I88" i="6"/>
  <c r="I83" i="6"/>
  <c r="I84" i="6"/>
  <c r="J50" i="6"/>
  <c r="J49" i="6"/>
  <c r="L23" i="6"/>
  <c r="L50" i="6"/>
  <c r="L72" i="6"/>
  <c r="I89" i="6"/>
  <c r="L74" i="6"/>
  <c r="L49" i="6"/>
  <c r="I90" i="6"/>
  <c r="L75" i="6"/>
  <c r="L78" i="6"/>
  <c r="L76" i="6"/>
  <c r="L79" i="6"/>
  <c r="M22" i="6"/>
  <c r="J81" i="6"/>
  <c r="M23" i="6"/>
  <c r="O22" i="6"/>
  <c r="L81" i="6"/>
  <c r="J82" i="6"/>
  <c r="L82" i="6"/>
  <c r="O23" i="6"/>
  <c r="O50" i="6"/>
  <c r="O72" i="6"/>
  <c r="M50" i="6"/>
  <c r="M49" i="6"/>
  <c r="O73" i="6"/>
  <c r="L88" i="6"/>
  <c r="L83" i="6"/>
  <c r="L84" i="6"/>
  <c r="L89" i="6"/>
  <c r="O74" i="6"/>
  <c r="J83" i="6"/>
  <c r="L90" i="6"/>
  <c r="O75" i="6"/>
  <c r="O78" i="6"/>
  <c r="O49" i="6"/>
  <c r="O76" i="6"/>
  <c r="O79" i="6"/>
  <c r="M81" i="6"/>
  <c r="M82" i="6"/>
  <c r="O82" i="6"/>
  <c r="O89" i="6"/>
  <c r="O81" i="6"/>
  <c r="O88" i="6"/>
  <c r="O90" i="6"/>
  <c r="M83" i="6"/>
  <c r="M51" i="1"/>
  <c r="J51" i="1"/>
  <c r="G51" i="1"/>
  <c r="D51" i="1"/>
  <c r="O83" i="6"/>
  <c r="O84" i="6"/>
  <c r="M51" i="5"/>
  <c r="J51" i="5"/>
  <c r="G51" i="5"/>
  <c r="D51" i="5"/>
  <c r="G23" i="39"/>
  <c r="H21" i="39"/>
  <c r="I21" i="39"/>
  <c r="F19" i="39"/>
  <c r="M51" i="39"/>
  <c r="D44" i="39"/>
  <c r="D51" i="39"/>
  <c r="N98" i="39"/>
  <c r="M98" i="39"/>
  <c r="K98" i="39"/>
  <c r="J98" i="39"/>
  <c r="H98" i="39"/>
  <c r="G98" i="39"/>
  <c r="E98" i="39"/>
  <c r="O92" i="39"/>
  <c r="L92" i="39"/>
  <c r="I92" i="39"/>
  <c r="F92" i="39"/>
  <c r="O46" i="39"/>
  <c r="L46" i="39"/>
  <c r="I46" i="39"/>
  <c r="O44" i="39"/>
  <c r="L44" i="39"/>
  <c r="I44" i="39"/>
  <c r="O43" i="39"/>
  <c r="L43" i="39"/>
  <c r="I43" i="39"/>
  <c r="F43" i="39"/>
  <c r="O42" i="39"/>
  <c r="L42" i="39"/>
  <c r="I42" i="39"/>
  <c r="F42" i="39"/>
  <c r="O41" i="39"/>
  <c r="L41" i="39"/>
  <c r="I41" i="39"/>
  <c r="F41" i="39"/>
  <c r="K32" i="39"/>
  <c r="K40" i="39"/>
  <c r="O39" i="39"/>
  <c r="L39" i="39"/>
  <c r="I39" i="39"/>
  <c r="F39" i="39"/>
  <c r="O38" i="39"/>
  <c r="L38" i="39"/>
  <c r="I38" i="39"/>
  <c r="F38" i="39"/>
  <c r="M37" i="39"/>
  <c r="J37" i="39"/>
  <c r="G37" i="39"/>
  <c r="G32" i="39"/>
  <c r="G31" i="39"/>
  <c r="G40" i="39"/>
  <c r="D37" i="39"/>
  <c r="F37" i="39"/>
  <c r="O36" i="39"/>
  <c r="L36" i="39"/>
  <c r="I36" i="39"/>
  <c r="F36" i="39"/>
  <c r="O35" i="39"/>
  <c r="L35" i="39"/>
  <c r="I35" i="39"/>
  <c r="F35" i="39"/>
  <c r="O34" i="39"/>
  <c r="L34" i="39"/>
  <c r="I34" i="39"/>
  <c r="F34" i="39"/>
  <c r="O33" i="39"/>
  <c r="L33" i="39"/>
  <c r="I33" i="39"/>
  <c r="F33" i="39"/>
  <c r="N32" i="39"/>
  <c r="N40" i="39"/>
  <c r="M32" i="39"/>
  <c r="O32" i="39"/>
  <c r="J32" i="39"/>
  <c r="L32" i="39"/>
  <c r="H32" i="39"/>
  <c r="H40" i="39"/>
  <c r="I32" i="39"/>
  <c r="E32" i="39"/>
  <c r="E40" i="39"/>
  <c r="D32" i="39"/>
  <c r="M31" i="39"/>
  <c r="O31" i="39"/>
  <c r="J31" i="39"/>
  <c r="L31" i="39"/>
  <c r="I31" i="39"/>
  <c r="D31" i="39"/>
  <c r="F31" i="39"/>
  <c r="N30" i="39"/>
  <c r="N96" i="39"/>
  <c r="N97" i="39"/>
  <c r="M30" i="39"/>
  <c r="K30" i="39"/>
  <c r="J30" i="39"/>
  <c r="L30" i="39"/>
  <c r="H30" i="39"/>
  <c r="G30" i="39"/>
  <c r="I30" i="39"/>
  <c r="E30" i="39"/>
  <c r="D30" i="39"/>
  <c r="F30" i="39"/>
  <c r="O29" i="39"/>
  <c r="L29" i="39"/>
  <c r="I29" i="39"/>
  <c r="F29" i="39"/>
  <c r="O28" i="39"/>
  <c r="L28" i="39"/>
  <c r="I28" i="39"/>
  <c r="F28" i="39"/>
  <c r="O27" i="39"/>
  <c r="L27" i="39"/>
  <c r="I27" i="39"/>
  <c r="F27" i="39"/>
  <c r="O26" i="39"/>
  <c r="L26" i="39"/>
  <c r="I26" i="39"/>
  <c r="F26" i="39"/>
  <c r="O25" i="39"/>
  <c r="L25" i="39"/>
  <c r="I25" i="39"/>
  <c r="F25" i="39"/>
  <c r="M23" i="39"/>
  <c r="N21" i="39"/>
  <c r="J23" i="39"/>
  <c r="D23" i="39"/>
  <c r="E21" i="39"/>
  <c r="E23" i="39"/>
  <c r="O22" i="39"/>
  <c r="L22" i="39"/>
  <c r="I22" i="39"/>
  <c r="O20" i="39"/>
  <c r="L20" i="39"/>
  <c r="I20" i="39"/>
  <c r="F20" i="39"/>
  <c r="O19" i="39"/>
  <c r="L19" i="39"/>
  <c r="O18" i="39"/>
  <c r="L18" i="39"/>
  <c r="I18" i="39"/>
  <c r="F18" i="39"/>
  <c r="O17" i="39"/>
  <c r="I17" i="39"/>
  <c r="F17" i="39"/>
  <c r="O16" i="39"/>
  <c r="L16" i="39"/>
  <c r="I16" i="39"/>
  <c r="F16" i="39"/>
  <c r="O15" i="39"/>
  <c r="L15" i="39"/>
  <c r="I15" i="39"/>
  <c r="F15" i="39"/>
  <c r="O14" i="39"/>
  <c r="L14" i="39"/>
  <c r="I14" i="39"/>
  <c r="F14" i="39"/>
  <c r="O13" i="39"/>
  <c r="L13" i="39"/>
  <c r="I13" i="39"/>
  <c r="F13" i="39"/>
  <c r="O12" i="39"/>
  <c r="L12" i="39"/>
  <c r="I12" i="39"/>
  <c r="F12" i="39"/>
  <c r="O11" i="39"/>
  <c r="L11" i="39"/>
  <c r="I11" i="39"/>
  <c r="F11" i="39"/>
  <c r="O10" i="39"/>
  <c r="L10" i="39"/>
  <c r="I10" i="39"/>
  <c r="F10" i="39"/>
  <c r="O9" i="39"/>
  <c r="L9" i="39"/>
  <c r="I9" i="39"/>
  <c r="F9" i="39"/>
  <c r="O8" i="39"/>
  <c r="L8" i="39"/>
  <c r="I8" i="39"/>
  <c r="F8" i="39"/>
  <c r="O7" i="39"/>
  <c r="L7" i="39"/>
  <c r="I7" i="39"/>
  <c r="F7" i="39"/>
  <c r="O6" i="39"/>
  <c r="L6" i="39"/>
  <c r="I6" i="39"/>
  <c r="F6" i="39"/>
  <c r="M4" i="39"/>
  <c r="J4" i="39"/>
  <c r="G4" i="39"/>
  <c r="B1" i="39"/>
  <c r="O21" i="39"/>
  <c r="N23" i="39"/>
  <c r="O23" i="39"/>
  <c r="O98" i="39"/>
  <c r="D98" i="39"/>
  <c r="L98" i="39"/>
  <c r="I98" i="39"/>
  <c r="M40" i="39"/>
  <c r="M47" i="39"/>
  <c r="J40" i="39"/>
  <c r="L40" i="39"/>
  <c r="L96" i="39"/>
  <c r="L97" i="39"/>
  <c r="J47" i="39"/>
  <c r="K45" i="39"/>
  <c r="L45" i="39"/>
  <c r="L37" i="39"/>
  <c r="G96" i="39"/>
  <c r="G97" i="39"/>
  <c r="I19" i="39"/>
  <c r="F44" i="39"/>
  <c r="F98" i="39"/>
  <c r="I40" i="39"/>
  <c r="G47" i="39"/>
  <c r="H96" i="39"/>
  <c r="H97" i="39"/>
  <c r="E81" i="39"/>
  <c r="F23" i="39"/>
  <c r="N81" i="39"/>
  <c r="O30" i="39"/>
  <c r="I37" i="39"/>
  <c r="H23" i="39"/>
  <c r="F21" i="39"/>
  <c r="F32" i="39"/>
  <c r="O37" i="39"/>
  <c r="D40" i="39"/>
  <c r="K21" i="39"/>
  <c r="M96" i="39"/>
  <c r="M97" i="39"/>
  <c r="J96" i="39"/>
  <c r="J97" i="39"/>
  <c r="O40" i="39"/>
  <c r="K47" i="39"/>
  <c r="L47" i="39"/>
  <c r="J50" i="39"/>
  <c r="J49" i="39"/>
  <c r="L49" i="39"/>
  <c r="K96" i="39"/>
  <c r="K97" i="39"/>
  <c r="G50" i="39"/>
  <c r="G49" i="39"/>
  <c r="H45" i="39"/>
  <c r="N45" i="39"/>
  <c r="D47" i="39"/>
  <c r="F40" i="39"/>
  <c r="F96" i="39"/>
  <c r="F97" i="39"/>
  <c r="M50" i="39"/>
  <c r="M49" i="39"/>
  <c r="I23" i="39"/>
  <c r="H81" i="39"/>
  <c r="D96" i="39"/>
  <c r="D97" i="39"/>
  <c r="K23" i="39"/>
  <c r="L21" i="39"/>
  <c r="E45" i="39"/>
  <c r="D50" i="39"/>
  <c r="O45" i="39"/>
  <c r="O96" i="39"/>
  <c r="O97" i="39"/>
  <c r="N47" i="39"/>
  <c r="O49" i="39"/>
  <c r="I45" i="39"/>
  <c r="I96" i="39"/>
  <c r="I97" i="39"/>
  <c r="H47" i="39"/>
  <c r="K81" i="39"/>
  <c r="K50" i="39"/>
  <c r="L23" i="39"/>
  <c r="L50" i="39"/>
  <c r="L72" i="39"/>
  <c r="I49" i="39"/>
  <c r="N50" i="39"/>
  <c r="N82" i="39"/>
  <c r="N83" i="39"/>
  <c r="O47" i="39"/>
  <c r="O50" i="39"/>
  <c r="O72" i="39"/>
  <c r="K82" i="39"/>
  <c r="K83" i="39"/>
  <c r="D49" i="39"/>
  <c r="F49" i="39"/>
  <c r="I47" i="39"/>
  <c r="I50" i="39"/>
  <c r="I72" i="39"/>
  <c r="H50" i="39"/>
  <c r="H82" i="39"/>
  <c r="H83" i="39"/>
  <c r="F45" i="39"/>
  <c r="E96" i="39"/>
  <c r="E97" i="39"/>
  <c r="E47" i="39"/>
  <c r="E50" i="39"/>
  <c r="E82" i="39"/>
  <c r="E83" i="39"/>
  <c r="F47" i="39"/>
  <c r="F50" i="39"/>
  <c r="F72" i="39"/>
  <c r="F78" i="39"/>
  <c r="F76" i="39"/>
  <c r="F79" i="39"/>
  <c r="D81" i="39"/>
  <c r="D82" i="39"/>
  <c r="F82" i="39"/>
  <c r="F81" i="39"/>
  <c r="F83" i="39"/>
  <c r="I74" i="39"/>
  <c r="F89" i="39"/>
  <c r="D83" i="39"/>
  <c r="F84" i="39"/>
  <c r="F88" i="39"/>
  <c r="F90" i="39"/>
  <c r="I73" i="39"/>
  <c r="I75" i="39"/>
  <c r="I78" i="39"/>
  <c r="I76" i="39"/>
  <c r="I79" i="39"/>
  <c r="G81" i="39"/>
  <c r="I81" i="39"/>
  <c r="G82" i="39"/>
  <c r="I82" i="39"/>
  <c r="G83" i="39"/>
  <c r="I88" i="39"/>
  <c r="I83" i="39"/>
  <c r="L73" i="39"/>
  <c r="L74" i="39"/>
  <c r="I89" i="39"/>
  <c r="I84" i="39"/>
  <c r="I90" i="39"/>
  <c r="L75" i="39"/>
  <c r="L76" i="39"/>
  <c r="L79" i="39"/>
  <c r="J81" i="39"/>
  <c r="L78" i="39"/>
  <c r="L81" i="39"/>
  <c r="J82" i="39"/>
  <c r="L82" i="39"/>
  <c r="J83" i="39"/>
  <c r="L88" i="39"/>
  <c r="L83" i="39"/>
  <c r="O73" i="39"/>
  <c r="O74" i="39"/>
  <c r="L89" i="39"/>
  <c r="L84" i="39"/>
  <c r="O75" i="39"/>
  <c r="L90" i="39"/>
  <c r="O78" i="39"/>
  <c r="O76" i="39"/>
  <c r="O79" i="39"/>
  <c r="M81" i="39"/>
  <c r="O81" i="39"/>
  <c r="M82" i="39"/>
  <c r="O82" i="39"/>
  <c r="O89" i="39"/>
  <c r="M83" i="39"/>
  <c r="O88" i="39"/>
  <c r="O90" i="39"/>
  <c r="O83" i="39"/>
  <c r="O84" i="39"/>
  <c r="D44" i="21"/>
  <c r="D51" i="21"/>
  <c r="K29" i="29"/>
  <c r="N29" i="29"/>
  <c r="M98" i="10"/>
  <c r="E21" i="30"/>
  <c r="K98" i="14"/>
  <c r="H98" i="14"/>
  <c r="N98" i="1"/>
  <c r="M98" i="1"/>
  <c r="K98" i="1"/>
  <c r="J98" i="1"/>
  <c r="H98" i="1"/>
  <c r="G98" i="1"/>
  <c r="E98" i="1"/>
  <c r="D98" i="1"/>
  <c r="D37" i="1"/>
  <c r="I92" i="42"/>
  <c r="F92" i="42"/>
  <c r="O46" i="42"/>
  <c r="I44" i="42"/>
  <c r="O43" i="42"/>
  <c r="L43" i="42"/>
  <c r="O42" i="42"/>
  <c r="I42" i="42"/>
  <c r="O41" i="42"/>
  <c r="L41" i="42"/>
  <c r="O39" i="42"/>
  <c r="I39" i="42"/>
  <c r="L38" i="42"/>
  <c r="O36" i="42"/>
  <c r="F36" i="42"/>
  <c r="I35" i="42"/>
  <c r="M32" i="42"/>
  <c r="K32" i="42"/>
  <c r="I33" i="42"/>
  <c r="D32" i="42"/>
  <c r="L29" i="42"/>
  <c r="O28" i="42"/>
  <c r="F28" i="42"/>
  <c r="O27" i="42"/>
  <c r="L27" i="42"/>
  <c r="O26" i="42"/>
  <c r="H30" i="42"/>
  <c r="L25" i="42"/>
  <c r="O22" i="42"/>
  <c r="K98" i="42"/>
  <c r="H98" i="42"/>
  <c r="G98" i="42"/>
  <c r="E98" i="42"/>
  <c r="I19" i="42"/>
  <c r="O18" i="42"/>
  <c r="L18" i="42"/>
  <c r="I18" i="42"/>
  <c r="O16" i="42"/>
  <c r="F16" i="42"/>
  <c r="I15" i="42"/>
  <c r="O14" i="42"/>
  <c r="F14" i="42"/>
  <c r="I13" i="42"/>
  <c r="O12" i="42"/>
  <c r="I12" i="42"/>
  <c r="F12" i="42"/>
  <c r="I11" i="42"/>
  <c r="O10" i="42"/>
  <c r="I10" i="42"/>
  <c r="F10" i="42"/>
  <c r="I9" i="42"/>
  <c r="O8" i="42"/>
  <c r="F8" i="42"/>
  <c r="I7" i="42"/>
  <c r="M4" i="42"/>
  <c r="D37" i="42"/>
  <c r="O92" i="42"/>
  <c r="O44" i="42"/>
  <c r="L44" i="42"/>
  <c r="L42" i="42"/>
  <c r="L39" i="42"/>
  <c r="G32" i="42"/>
  <c r="F35" i="42"/>
  <c r="I34" i="42"/>
  <c r="F34" i="42"/>
  <c r="N32" i="42"/>
  <c r="J32" i="42"/>
  <c r="O29" i="42"/>
  <c r="L28" i="42"/>
  <c r="I28" i="42"/>
  <c r="K30" i="42"/>
  <c r="L26" i="42"/>
  <c r="D30" i="42"/>
  <c r="O25" i="42"/>
  <c r="L22" i="42"/>
  <c r="I22" i="42"/>
  <c r="F19" i="42"/>
  <c r="F18" i="42"/>
  <c r="O17" i="42"/>
  <c r="I17" i="42"/>
  <c r="F17" i="42"/>
  <c r="I16" i="42"/>
  <c r="F15" i="42"/>
  <c r="I14" i="42"/>
  <c r="F13" i="42"/>
  <c r="F11" i="42"/>
  <c r="F9" i="42"/>
  <c r="I8" i="42"/>
  <c r="F7" i="42"/>
  <c r="G208" i="15" a="1"/>
  <c r="G189" i="15" a="1"/>
  <c r="E197" i="15" a="1"/>
  <c r="G201" i="15" a="1"/>
  <c r="G206" i="15" a="1"/>
  <c r="F216" i="15" a="1"/>
  <c r="G195" i="15" a="1"/>
  <c r="G219" i="15" a="1"/>
  <c r="D197" i="15" a="1"/>
  <c r="E200" i="15" a="1"/>
  <c r="G210" i="15" a="1"/>
  <c r="E182" i="15" a="1"/>
  <c r="D204" i="15" a="1"/>
  <c r="F200" i="15" a="1"/>
  <c r="G214" i="15" a="1"/>
  <c r="E212" i="15" a="1"/>
  <c r="G207" i="15" a="1"/>
  <c r="E219" i="15" a="1"/>
  <c r="G200" i="15" a="1"/>
  <c r="E202" i="15" a="1"/>
  <c r="G211" i="15" a="1"/>
  <c r="G190" i="15" a="1"/>
  <c r="D216" i="15" a="1"/>
  <c r="E146" i="15" a="1"/>
  <c r="F158" i="15" a="1"/>
  <c r="D212" i="15" a="1"/>
  <c r="F190" i="15" a="1"/>
  <c r="F213" i="15" a="1"/>
  <c r="G209" i="15" a="1"/>
  <c r="D202" i="15" a="1"/>
  <c r="G197" i="15" a="1"/>
  <c r="E211" i="15" a="1"/>
  <c r="G215" i="15" a="1"/>
  <c r="G216" i="15" a="1"/>
  <c r="E158" i="15" a="1"/>
  <c r="E190" i="15" a="1"/>
  <c r="E216" i="15" a="1"/>
  <c r="G204" i="15" a="1"/>
  <c r="D210" i="15" a="1"/>
  <c r="D213" i="15" a="1"/>
  <c r="D146" i="15" a="1"/>
  <c r="G146" i="15" a="1"/>
  <c r="F194" i="15" a="1"/>
  <c r="G193" i="15" a="1"/>
  <c r="G205" i="15" a="1"/>
  <c r="E213" i="15" a="1"/>
  <c r="G182" i="15" a="1"/>
  <c r="F203" i="15" a="1"/>
  <c r="G203" i="15" a="1"/>
  <c r="G196" i="15" a="1"/>
  <c r="F198" i="15" a="1"/>
  <c r="F197" i="15" a="1"/>
  <c r="E203" i="15" a="1"/>
  <c r="D196" i="15" a="1"/>
  <c r="E204" i="15" a="1"/>
  <c r="G188" i="15" a="1"/>
  <c r="F219" i="15" a="1"/>
  <c r="F211" i="15" a="1"/>
  <c r="F212" i="15" a="1"/>
  <c r="E209" i="15" a="1"/>
  <c r="D182" i="15" a="1"/>
  <c r="D198" i="15" a="1"/>
  <c r="G212" i="15" a="1"/>
  <c r="F146" i="15" a="1"/>
  <c r="G186" i="15" a="1"/>
  <c r="D200" i="15" a="1"/>
  <c r="F196" i="15" a="1"/>
  <c r="F209" i="15" a="1"/>
  <c r="G187" i="15" a="1"/>
  <c r="G194" i="15" a="1"/>
  <c r="F210" i="15" a="1"/>
  <c r="E210" i="15" a="1"/>
  <c r="D203" i="15" a="1"/>
  <c r="D219" i="15" a="1"/>
  <c r="E196" i="15" a="1"/>
  <c r="F202" i="15" a="1"/>
  <c r="G218" i="15" a="1"/>
  <c r="G192" i="15" a="1"/>
  <c r="G191" i="15" a="1"/>
  <c r="G199" i="15" a="1"/>
  <c r="D211" i="15" a="1"/>
  <c r="E194" i="15" a="1"/>
  <c r="E198" i="15" a="1"/>
  <c r="G202" i="15" a="1"/>
  <c r="F182" i="15" a="1"/>
  <c r="G213" i="15" a="1"/>
  <c r="G217" i="15" a="1"/>
  <c r="D194" i="15" a="1"/>
  <c r="F204" i="15" a="1"/>
  <c r="D205" i="15" a="1"/>
  <c r="G198" i="15" a="1"/>
  <c r="L13" i="42"/>
  <c r="F41" i="42"/>
  <c r="L15" i="42"/>
  <c r="F29" i="42"/>
  <c r="G37" i="42"/>
  <c r="J23" i="42"/>
  <c r="L35" i="42"/>
  <c r="L14" i="42"/>
  <c r="F39" i="42"/>
  <c r="F20" i="42"/>
  <c r="N30" i="42"/>
  <c r="F26" i="42"/>
  <c r="I20" i="42"/>
  <c r="I98" i="42"/>
  <c r="D31" i="42"/>
  <c r="F31" i="42"/>
  <c r="O20" i="42"/>
  <c r="O98" i="42"/>
  <c r="M98" i="42"/>
  <c r="F43" i="42"/>
  <c r="J37" i="42"/>
  <c r="L37" i="42"/>
  <c r="L10" i="42"/>
  <c r="L16" i="42"/>
  <c r="L34" i="42"/>
  <c r="F44" i="42"/>
  <c r="G31" i="42"/>
  <c r="I31" i="42"/>
  <c r="N98" i="42"/>
  <c r="L7" i="42"/>
  <c r="F27" i="42"/>
  <c r="F38" i="42"/>
  <c r="I46" i="42"/>
  <c r="L36" i="42"/>
  <c r="H32" i="42"/>
  <c r="H40" i="42"/>
  <c r="H96" i="42"/>
  <c r="H97" i="42"/>
  <c r="F25" i="42"/>
  <c r="L8" i="42"/>
  <c r="L12" i="42"/>
  <c r="L20" i="42"/>
  <c r="L98" i="42"/>
  <c r="J98" i="42"/>
  <c r="F42" i="42"/>
  <c r="L9" i="42"/>
  <c r="O7" i="42"/>
  <c r="O9" i="42"/>
  <c r="O11" i="42"/>
  <c r="O13" i="42"/>
  <c r="O15" i="42"/>
  <c r="M23" i="42"/>
  <c r="I25" i="42"/>
  <c r="I27" i="42"/>
  <c r="I29" i="42"/>
  <c r="O35" i="42"/>
  <c r="I38" i="42"/>
  <c r="I41" i="42"/>
  <c r="I43" i="42"/>
  <c r="L46" i="42"/>
  <c r="G23" i="42"/>
  <c r="D23" i="42"/>
  <c r="L11" i="42"/>
  <c r="M31" i="42"/>
  <c r="O31" i="42"/>
  <c r="D98" i="42"/>
  <c r="E32" i="42"/>
  <c r="E40" i="42"/>
  <c r="L92" i="42"/>
  <c r="G188" i="15"/>
  <c r="G216" i="15"/>
  <c r="G208" i="15"/>
  <c r="F212" i="15"/>
  <c r="F210" i="15"/>
  <c r="F204" i="15"/>
  <c r="F202" i="15"/>
  <c r="F200" i="15"/>
  <c r="F198" i="15"/>
  <c r="F196" i="15"/>
  <c r="F194" i="15"/>
  <c r="F190" i="15"/>
  <c r="G214" i="15"/>
  <c r="G210" i="15"/>
  <c r="F216" i="15"/>
  <c r="E216" i="15"/>
  <c r="E212" i="15"/>
  <c r="E210" i="15"/>
  <c r="E204" i="15"/>
  <c r="E202" i="15"/>
  <c r="E200" i="15"/>
  <c r="E198" i="15"/>
  <c r="E196" i="15"/>
  <c r="E194" i="15"/>
  <c r="E190" i="15"/>
  <c r="G212" i="15"/>
  <c r="G218" i="15"/>
  <c r="G200" i="15"/>
  <c r="D216" i="15"/>
  <c r="D212" i="15"/>
  <c r="D210" i="15"/>
  <c r="D204" i="15"/>
  <c r="D202" i="15"/>
  <c r="D200" i="15"/>
  <c r="D198" i="15"/>
  <c r="D196" i="15"/>
  <c r="D194" i="15"/>
  <c r="G206" i="15"/>
  <c r="G198" i="15"/>
  <c r="G219" i="15"/>
  <c r="G217" i="15"/>
  <c r="G215" i="15"/>
  <c r="G213" i="15"/>
  <c r="G211" i="15"/>
  <c r="G209" i="15"/>
  <c r="G207" i="15"/>
  <c r="G205" i="15"/>
  <c r="G203" i="15"/>
  <c r="G201" i="15"/>
  <c r="G199" i="15"/>
  <c r="G197" i="15"/>
  <c r="G195" i="15"/>
  <c r="G193" i="15"/>
  <c r="G191" i="15"/>
  <c r="G189" i="15"/>
  <c r="G187" i="15"/>
  <c r="G204" i="15"/>
  <c r="G192" i="15"/>
  <c r="F219" i="15"/>
  <c r="F213" i="15"/>
  <c r="F211" i="15"/>
  <c r="F209" i="15"/>
  <c r="F203" i="15"/>
  <c r="F197" i="15"/>
  <c r="G202" i="15"/>
  <c r="G194" i="15"/>
  <c r="E219" i="15"/>
  <c r="E213" i="15"/>
  <c r="E211" i="15"/>
  <c r="E209" i="15"/>
  <c r="E203" i="15"/>
  <c r="E197" i="15"/>
  <c r="G196" i="15"/>
  <c r="G190" i="15"/>
  <c r="D219" i="15"/>
  <c r="D213" i="15"/>
  <c r="D211" i="15"/>
  <c r="D205" i="15"/>
  <c r="D203" i="15"/>
  <c r="D197" i="15"/>
  <c r="G186" i="15"/>
  <c r="G182" i="15"/>
  <c r="F182" i="15"/>
  <c r="F158" i="15"/>
  <c r="E182" i="15"/>
  <c r="E158" i="15"/>
  <c r="D182" i="15"/>
  <c r="F146" i="15"/>
  <c r="G146" i="15"/>
  <c r="E146" i="15"/>
  <c r="D146" i="15"/>
  <c r="K40" i="42"/>
  <c r="K96" i="42"/>
  <c r="K97" i="42"/>
  <c r="I26" i="42"/>
  <c r="L19" i="42"/>
  <c r="L32" i="42"/>
  <c r="O19" i="42"/>
  <c r="F33" i="42"/>
  <c r="O32" i="42"/>
  <c r="I21" i="42"/>
  <c r="O21" i="42"/>
  <c r="N40" i="42"/>
  <c r="N23" i="42"/>
  <c r="L21" i="42"/>
  <c r="L33" i="42"/>
  <c r="I36" i="42"/>
  <c r="M37" i="42"/>
  <c r="O37" i="42"/>
  <c r="I6" i="42"/>
  <c r="O38" i="42"/>
  <c r="L6" i="42"/>
  <c r="O34" i="42"/>
  <c r="O33" i="42"/>
  <c r="B1" i="42"/>
  <c r="O6" i="42"/>
  <c r="E30" i="42"/>
  <c r="F30" i="42"/>
  <c r="M30" i="42"/>
  <c r="K23" i="42"/>
  <c r="J31" i="42"/>
  <c r="L31" i="42"/>
  <c r="G4" i="42"/>
  <c r="G30" i="42"/>
  <c r="I30" i="42"/>
  <c r="J4" i="42"/>
  <c r="F37" i="42"/>
  <c r="J30" i="42"/>
  <c r="F6" i="42"/>
  <c r="L92" i="38"/>
  <c r="O46" i="38"/>
  <c r="L44" i="38"/>
  <c r="I44" i="38"/>
  <c r="F44" i="38"/>
  <c r="L43" i="38"/>
  <c r="L42" i="38"/>
  <c r="I42" i="38"/>
  <c r="F42" i="38"/>
  <c r="O41" i="38"/>
  <c r="L41" i="38"/>
  <c r="L39" i="38"/>
  <c r="I39" i="38"/>
  <c r="F39" i="38"/>
  <c r="L38" i="38"/>
  <c r="O36" i="38"/>
  <c r="L36" i="38"/>
  <c r="I36" i="38"/>
  <c r="F36" i="38"/>
  <c r="O35" i="38"/>
  <c r="F35" i="38"/>
  <c r="L34" i="38"/>
  <c r="F34" i="38"/>
  <c r="O29" i="38"/>
  <c r="L29" i="38"/>
  <c r="L28" i="38"/>
  <c r="I28" i="38"/>
  <c r="F28" i="38"/>
  <c r="M30" i="38"/>
  <c r="L27" i="38"/>
  <c r="H30" i="38"/>
  <c r="L26" i="38"/>
  <c r="F26" i="38"/>
  <c r="N98" i="38"/>
  <c r="J23" i="38"/>
  <c r="O18" i="38"/>
  <c r="L18" i="38"/>
  <c r="O17" i="38"/>
  <c r="F17" i="38"/>
  <c r="F16" i="38"/>
  <c r="O15" i="38"/>
  <c r="F15" i="38"/>
  <c r="L14" i="38"/>
  <c r="I14" i="38"/>
  <c r="F14" i="38"/>
  <c r="O13" i="38"/>
  <c r="F13" i="38"/>
  <c r="L12" i="38"/>
  <c r="I12" i="38"/>
  <c r="F12" i="38"/>
  <c r="O11" i="38"/>
  <c r="F11" i="38"/>
  <c r="L10" i="38"/>
  <c r="I10" i="38"/>
  <c r="F10" i="38"/>
  <c r="F9" i="38"/>
  <c r="O8" i="38"/>
  <c r="L8" i="38"/>
  <c r="F8" i="38"/>
  <c r="O7" i="38"/>
  <c r="F7" i="38"/>
  <c r="M4" i="38"/>
  <c r="O92" i="38"/>
  <c r="F92" i="38"/>
  <c r="L46" i="38"/>
  <c r="I46" i="38"/>
  <c r="O44" i="38"/>
  <c r="O43" i="38"/>
  <c r="I43" i="38"/>
  <c r="F43" i="38"/>
  <c r="O42" i="38"/>
  <c r="I41" i="38"/>
  <c r="F41" i="38"/>
  <c r="O39" i="38"/>
  <c r="I38" i="38"/>
  <c r="L35" i="38"/>
  <c r="H32" i="38"/>
  <c r="I35" i="38"/>
  <c r="N32" i="38"/>
  <c r="N40" i="38"/>
  <c r="O34" i="38"/>
  <c r="M32" i="38"/>
  <c r="J32" i="38"/>
  <c r="I33" i="38"/>
  <c r="I29" i="38"/>
  <c r="F29" i="38"/>
  <c r="O28" i="38"/>
  <c r="F27" i="38"/>
  <c r="N30" i="38"/>
  <c r="I26" i="38"/>
  <c r="O25" i="38"/>
  <c r="I25" i="38"/>
  <c r="F25" i="38"/>
  <c r="O22" i="38"/>
  <c r="L22" i="38"/>
  <c r="I22" i="38"/>
  <c r="I20" i="38"/>
  <c r="L19" i="38"/>
  <c r="I19" i="38"/>
  <c r="F19" i="38"/>
  <c r="I18" i="38"/>
  <c r="F18" i="38"/>
  <c r="I17" i="38"/>
  <c r="O16" i="38"/>
  <c r="L16" i="38"/>
  <c r="I16" i="38"/>
  <c r="L15" i="38"/>
  <c r="I15" i="38"/>
  <c r="O14" i="38"/>
  <c r="L13" i="38"/>
  <c r="I13" i="38"/>
  <c r="O12" i="38"/>
  <c r="L11" i="38"/>
  <c r="I11" i="38"/>
  <c r="O10" i="38"/>
  <c r="O9" i="38"/>
  <c r="L9" i="38"/>
  <c r="I9" i="38"/>
  <c r="I8" i="38"/>
  <c r="L7" i="38"/>
  <c r="I7" i="38"/>
  <c r="M23" i="38"/>
  <c r="G37" i="38"/>
  <c r="O46" i="37"/>
  <c r="O44" i="37"/>
  <c r="O43" i="37"/>
  <c r="L43" i="37"/>
  <c r="O42" i="37"/>
  <c r="L42" i="37"/>
  <c r="O39" i="37"/>
  <c r="L38" i="37"/>
  <c r="I35" i="37"/>
  <c r="F35" i="37"/>
  <c r="M32" i="37"/>
  <c r="K32" i="37"/>
  <c r="J32" i="37"/>
  <c r="I33" i="37"/>
  <c r="F33" i="37"/>
  <c r="L29" i="37"/>
  <c r="O28" i="37"/>
  <c r="L28" i="37"/>
  <c r="K30" i="37"/>
  <c r="L26" i="37"/>
  <c r="E30" i="37"/>
  <c r="L25" i="37"/>
  <c r="L22" i="37"/>
  <c r="I19" i="37"/>
  <c r="F19" i="37"/>
  <c r="L18" i="37"/>
  <c r="I18" i="37"/>
  <c r="I17" i="37"/>
  <c r="I16" i="37"/>
  <c r="O15" i="37"/>
  <c r="L14" i="37"/>
  <c r="I14" i="37"/>
  <c r="I13" i="37"/>
  <c r="O11" i="37"/>
  <c r="L10" i="37"/>
  <c r="I10" i="37"/>
  <c r="F10" i="37"/>
  <c r="I9" i="37"/>
  <c r="I8" i="37"/>
  <c r="O7" i="37"/>
  <c r="M4" i="37"/>
  <c r="D37" i="37"/>
  <c r="I92" i="37"/>
  <c r="L46" i="37"/>
  <c r="I46" i="37"/>
  <c r="L44" i="37"/>
  <c r="I43" i="37"/>
  <c r="F43" i="37"/>
  <c r="L41" i="37"/>
  <c r="I41" i="37"/>
  <c r="F41" i="37"/>
  <c r="L39" i="37"/>
  <c r="I38" i="37"/>
  <c r="O35" i="37"/>
  <c r="L35" i="37"/>
  <c r="O34" i="37"/>
  <c r="D32" i="37"/>
  <c r="N32" i="37"/>
  <c r="L33" i="37"/>
  <c r="F29" i="37"/>
  <c r="O27" i="37"/>
  <c r="L27" i="37"/>
  <c r="I27" i="37"/>
  <c r="F27" i="37"/>
  <c r="H30" i="37"/>
  <c r="I25" i="37"/>
  <c r="F25" i="37"/>
  <c r="O22" i="37"/>
  <c r="I22" i="37"/>
  <c r="O19" i="37"/>
  <c r="F18" i="37"/>
  <c r="O17" i="37"/>
  <c r="F17" i="37"/>
  <c r="L15" i="37"/>
  <c r="F15" i="37"/>
  <c r="F14" i="37"/>
  <c r="O13" i="37"/>
  <c r="L13" i="37"/>
  <c r="F13" i="37"/>
  <c r="L11" i="37"/>
  <c r="F11" i="37"/>
  <c r="O9" i="37"/>
  <c r="L9" i="37"/>
  <c r="F9" i="37"/>
  <c r="L7" i="37"/>
  <c r="F7" i="37"/>
  <c r="D23" i="37"/>
  <c r="G37" i="37"/>
  <c r="L92" i="36"/>
  <c r="O46" i="36"/>
  <c r="L46" i="36"/>
  <c r="I46" i="36"/>
  <c r="O44" i="36"/>
  <c r="L44" i="36"/>
  <c r="O43" i="36"/>
  <c r="I43" i="36"/>
  <c r="O42" i="36"/>
  <c r="L42" i="36"/>
  <c r="O41" i="36"/>
  <c r="L41" i="36"/>
  <c r="I41" i="36"/>
  <c r="O39" i="36"/>
  <c r="I38" i="36"/>
  <c r="I36" i="36"/>
  <c r="F36" i="36"/>
  <c r="O35" i="36"/>
  <c r="L35" i="36"/>
  <c r="O34" i="36"/>
  <c r="I34" i="36"/>
  <c r="E32" i="36"/>
  <c r="N32" i="36"/>
  <c r="I33" i="36"/>
  <c r="D32" i="36"/>
  <c r="O29" i="36"/>
  <c r="F29" i="36"/>
  <c r="O28" i="36"/>
  <c r="K30" i="36"/>
  <c r="F27" i="36"/>
  <c r="L26" i="36"/>
  <c r="O25" i="36"/>
  <c r="O22" i="36"/>
  <c r="L22" i="36"/>
  <c r="O19" i="36"/>
  <c r="L19" i="36"/>
  <c r="I18" i="36"/>
  <c r="F17" i="36"/>
  <c r="I16" i="36"/>
  <c r="L15" i="36"/>
  <c r="I15" i="36"/>
  <c r="L14" i="36"/>
  <c r="I14" i="36"/>
  <c r="I13" i="36"/>
  <c r="F13" i="36"/>
  <c r="I12" i="36"/>
  <c r="L11" i="36"/>
  <c r="I10" i="36"/>
  <c r="L9" i="36"/>
  <c r="I9" i="36"/>
  <c r="F9" i="36"/>
  <c r="I8" i="36"/>
  <c r="L7" i="36"/>
  <c r="I7" i="36"/>
  <c r="M4" i="36"/>
  <c r="D37" i="36"/>
  <c r="O92" i="36"/>
  <c r="I92" i="36"/>
  <c r="L43" i="36"/>
  <c r="F43" i="36"/>
  <c r="F41" i="36"/>
  <c r="L39" i="36"/>
  <c r="L38" i="36"/>
  <c r="O36" i="36"/>
  <c r="I35" i="36"/>
  <c r="F35" i="36"/>
  <c r="J32" i="36"/>
  <c r="M30" i="36"/>
  <c r="L29" i="36"/>
  <c r="L28" i="36"/>
  <c r="O27" i="36"/>
  <c r="L27" i="36"/>
  <c r="O26" i="36"/>
  <c r="J30" i="36"/>
  <c r="F25" i="36"/>
  <c r="I22" i="36"/>
  <c r="O20" i="36"/>
  <c r="O98" i="36"/>
  <c r="I19" i="36"/>
  <c r="F19" i="36"/>
  <c r="O18" i="36"/>
  <c r="O17" i="36"/>
  <c r="I17" i="36"/>
  <c r="F16" i="36"/>
  <c r="F15" i="36"/>
  <c r="F14" i="36"/>
  <c r="L13" i="36"/>
  <c r="F12" i="36"/>
  <c r="I11" i="36"/>
  <c r="F11" i="36"/>
  <c r="L10" i="36"/>
  <c r="F10" i="36"/>
  <c r="F8" i="36"/>
  <c r="F7" i="36"/>
  <c r="F6" i="36"/>
  <c r="G37" i="36"/>
  <c r="L92" i="35"/>
  <c r="F92" i="35"/>
  <c r="O46" i="35"/>
  <c r="L46" i="35"/>
  <c r="I46" i="35"/>
  <c r="O44" i="35"/>
  <c r="F44" i="35"/>
  <c r="L43" i="35"/>
  <c r="O42" i="35"/>
  <c r="L42" i="35"/>
  <c r="F42" i="35"/>
  <c r="L41" i="35"/>
  <c r="L39" i="35"/>
  <c r="F39" i="35"/>
  <c r="L38" i="35"/>
  <c r="I38" i="35"/>
  <c r="F38" i="35"/>
  <c r="I36" i="35"/>
  <c r="F36" i="35"/>
  <c r="L35" i="35"/>
  <c r="I35" i="35"/>
  <c r="F35" i="35"/>
  <c r="L34" i="35"/>
  <c r="J32" i="35"/>
  <c r="F34" i="35"/>
  <c r="M32" i="35"/>
  <c r="O29" i="35"/>
  <c r="L29" i="35"/>
  <c r="I29" i="35"/>
  <c r="F29" i="35"/>
  <c r="L28" i="35"/>
  <c r="F28" i="35"/>
  <c r="O27" i="35"/>
  <c r="K30" i="35"/>
  <c r="L27" i="35"/>
  <c r="I27" i="35"/>
  <c r="F27" i="35"/>
  <c r="L26" i="35"/>
  <c r="I26" i="35"/>
  <c r="F26" i="35"/>
  <c r="L25" i="35"/>
  <c r="I25" i="35"/>
  <c r="F25" i="35"/>
  <c r="L22" i="35"/>
  <c r="I22" i="35"/>
  <c r="L19" i="35"/>
  <c r="F19" i="35"/>
  <c r="O18" i="35"/>
  <c r="L18" i="35"/>
  <c r="F18" i="35"/>
  <c r="O17" i="35"/>
  <c r="I17" i="35"/>
  <c r="F17" i="35"/>
  <c r="L16" i="35"/>
  <c r="F16" i="35"/>
  <c r="L15" i="35"/>
  <c r="F15" i="35"/>
  <c r="L14" i="35"/>
  <c r="F14" i="35"/>
  <c r="L13" i="35"/>
  <c r="F13" i="35"/>
  <c r="L12" i="35"/>
  <c r="F12" i="35"/>
  <c r="L11" i="35"/>
  <c r="I11" i="35"/>
  <c r="F11" i="35"/>
  <c r="L10" i="35"/>
  <c r="F10" i="35"/>
  <c r="L9" i="35"/>
  <c r="F9" i="35"/>
  <c r="L8" i="35"/>
  <c r="F8" i="35"/>
  <c r="L7" i="35"/>
  <c r="F7" i="35"/>
  <c r="M4" i="35"/>
  <c r="D37" i="35"/>
  <c r="O92" i="35"/>
  <c r="L44" i="35"/>
  <c r="O43" i="35"/>
  <c r="I43" i="35"/>
  <c r="F43" i="35"/>
  <c r="O41" i="35"/>
  <c r="I41" i="35"/>
  <c r="F41" i="35"/>
  <c r="O39" i="35"/>
  <c r="I39" i="35"/>
  <c r="O36" i="35"/>
  <c r="O35" i="35"/>
  <c r="N32" i="35"/>
  <c r="N40" i="35"/>
  <c r="I34" i="35"/>
  <c r="I33" i="35"/>
  <c r="H32" i="35"/>
  <c r="G32" i="35"/>
  <c r="I32" i="35"/>
  <c r="E32" i="35"/>
  <c r="M30" i="35"/>
  <c r="O28" i="35"/>
  <c r="I28" i="35"/>
  <c r="N30" i="35"/>
  <c r="O26" i="35"/>
  <c r="D30" i="35"/>
  <c r="O25" i="35"/>
  <c r="O22" i="35"/>
  <c r="I19" i="35"/>
  <c r="I18" i="35"/>
  <c r="I16" i="35"/>
  <c r="O15" i="35"/>
  <c r="I15" i="35"/>
  <c r="O14" i="35"/>
  <c r="I14" i="35"/>
  <c r="I13" i="35"/>
  <c r="I12" i="35"/>
  <c r="O10" i="35"/>
  <c r="I10" i="35"/>
  <c r="I9" i="35"/>
  <c r="I8" i="35"/>
  <c r="O7" i="35"/>
  <c r="I7" i="35"/>
  <c r="O6" i="35"/>
  <c r="G23" i="35"/>
  <c r="G37" i="35"/>
  <c r="O92" i="34"/>
  <c r="L92" i="34"/>
  <c r="F92" i="34"/>
  <c r="L46" i="34"/>
  <c r="O44" i="34"/>
  <c r="F44" i="34"/>
  <c r="O43" i="34"/>
  <c r="I43" i="34"/>
  <c r="F43" i="34"/>
  <c r="F42" i="34"/>
  <c r="O41" i="34"/>
  <c r="F41" i="34"/>
  <c r="O39" i="34"/>
  <c r="L39" i="34"/>
  <c r="F39" i="34"/>
  <c r="F38" i="34"/>
  <c r="L36" i="34"/>
  <c r="I36" i="34"/>
  <c r="O35" i="34"/>
  <c r="I35" i="34"/>
  <c r="L34" i="34"/>
  <c r="I34" i="34"/>
  <c r="M32" i="34"/>
  <c r="J32" i="34"/>
  <c r="I33" i="34"/>
  <c r="O29" i="34"/>
  <c r="I29" i="34"/>
  <c r="F28" i="34"/>
  <c r="O27" i="34"/>
  <c r="L27" i="34"/>
  <c r="I27" i="34"/>
  <c r="F27" i="34"/>
  <c r="L26" i="34"/>
  <c r="F26" i="34"/>
  <c r="O25" i="34"/>
  <c r="I25" i="34"/>
  <c r="O22" i="34"/>
  <c r="I22" i="34"/>
  <c r="L19" i="34"/>
  <c r="I19" i="34"/>
  <c r="L18" i="34"/>
  <c r="F18" i="34"/>
  <c r="L16" i="34"/>
  <c r="I16" i="34"/>
  <c r="O15" i="34"/>
  <c r="I15" i="34"/>
  <c r="O14" i="34"/>
  <c r="L14" i="34"/>
  <c r="I14" i="34"/>
  <c r="F14" i="34"/>
  <c r="O13" i="34"/>
  <c r="I13" i="34"/>
  <c r="L12" i="34"/>
  <c r="I12" i="34"/>
  <c r="O11" i="34"/>
  <c r="L11" i="34"/>
  <c r="I11" i="34"/>
  <c r="L10" i="34"/>
  <c r="I10" i="34"/>
  <c r="O9" i="34"/>
  <c r="L9" i="34"/>
  <c r="I9" i="34"/>
  <c r="L8" i="34"/>
  <c r="I8" i="34"/>
  <c r="O7" i="34"/>
  <c r="I7" i="34"/>
  <c r="M4" i="34"/>
  <c r="I92" i="34"/>
  <c r="I46" i="34"/>
  <c r="L44" i="34"/>
  <c r="I41" i="34"/>
  <c r="I38" i="34"/>
  <c r="L35" i="34"/>
  <c r="F34" i="34"/>
  <c r="O33" i="34"/>
  <c r="D32" i="34"/>
  <c r="E32" i="34"/>
  <c r="F29" i="34"/>
  <c r="L28" i="34"/>
  <c r="N30" i="34"/>
  <c r="K30" i="34"/>
  <c r="I26" i="34"/>
  <c r="L25" i="34"/>
  <c r="F25" i="34"/>
  <c r="L22" i="34"/>
  <c r="O19" i="34"/>
  <c r="F19" i="34"/>
  <c r="I18" i="34"/>
  <c r="O17" i="34"/>
  <c r="I17" i="34"/>
  <c r="F17" i="34"/>
  <c r="L15" i="34"/>
  <c r="L13" i="34"/>
  <c r="F13" i="34"/>
  <c r="O10" i="34"/>
  <c r="F10" i="34"/>
  <c r="F9" i="34"/>
  <c r="L7" i="34"/>
  <c r="O6" i="34"/>
  <c r="D23" i="34"/>
  <c r="G37" i="34"/>
  <c r="O92" i="33"/>
  <c r="I46" i="33"/>
  <c r="L44" i="33"/>
  <c r="I44" i="33"/>
  <c r="F44" i="33"/>
  <c r="L43" i="33"/>
  <c r="L42" i="33"/>
  <c r="I42" i="33"/>
  <c r="F42" i="33"/>
  <c r="I41" i="33"/>
  <c r="L39" i="33"/>
  <c r="I39" i="33"/>
  <c r="F39" i="33"/>
  <c r="L38" i="33"/>
  <c r="I38" i="33"/>
  <c r="F38" i="33"/>
  <c r="O36" i="33"/>
  <c r="F36" i="33"/>
  <c r="O35" i="33"/>
  <c r="L35" i="33"/>
  <c r="K32" i="33"/>
  <c r="K40" i="33"/>
  <c r="K30" i="33"/>
  <c r="K96" i="33"/>
  <c r="K97" i="33"/>
  <c r="F34" i="33"/>
  <c r="O33" i="33"/>
  <c r="H32" i="33"/>
  <c r="E32" i="33"/>
  <c r="D32" i="33"/>
  <c r="F32" i="33"/>
  <c r="I29" i="33"/>
  <c r="L28" i="33"/>
  <c r="I28" i="33"/>
  <c r="F28" i="33"/>
  <c r="I27" i="33"/>
  <c r="N30" i="33"/>
  <c r="M30" i="33"/>
  <c r="L26" i="33"/>
  <c r="H30" i="33"/>
  <c r="F26" i="33"/>
  <c r="O25" i="33"/>
  <c r="L25" i="33"/>
  <c r="I25" i="33"/>
  <c r="F25" i="33"/>
  <c r="O22" i="33"/>
  <c r="L19" i="33"/>
  <c r="I19" i="33"/>
  <c r="I18" i="33"/>
  <c r="I17" i="33"/>
  <c r="F17" i="33"/>
  <c r="F16" i="33"/>
  <c r="O15" i="33"/>
  <c r="I14" i="33"/>
  <c r="F14" i="33"/>
  <c r="O13" i="33"/>
  <c r="L13" i="33"/>
  <c r="O12" i="33"/>
  <c r="F12" i="33"/>
  <c r="O11" i="33"/>
  <c r="L11" i="33"/>
  <c r="I11" i="33"/>
  <c r="F11" i="33"/>
  <c r="I10" i="33"/>
  <c r="F10" i="33"/>
  <c r="O9" i="33"/>
  <c r="F9" i="33"/>
  <c r="F8" i="33"/>
  <c r="G23" i="33"/>
  <c r="M4" i="33"/>
  <c r="F92" i="33"/>
  <c r="O46" i="33"/>
  <c r="L46" i="33"/>
  <c r="O43" i="33"/>
  <c r="I43" i="33"/>
  <c r="L41" i="33"/>
  <c r="F41" i="33"/>
  <c r="F35" i="33"/>
  <c r="M32" i="33"/>
  <c r="N32" i="33"/>
  <c r="J32" i="33"/>
  <c r="O29" i="33"/>
  <c r="L29" i="33"/>
  <c r="F29" i="33"/>
  <c r="L27" i="33"/>
  <c r="I26" i="33"/>
  <c r="L22" i="33"/>
  <c r="I22" i="33"/>
  <c r="F19" i="33"/>
  <c r="L18" i="33"/>
  <c r="O17" i="33"/>
  <c r="O16" i="33"/>
  <c r="F15" i="33"/>
  <c r="O14" i="33"/>
  <c r="F13" i="33"/>
  <c r="O10" i="33"/>
  <c r="L9" i="33"/>
  <c r="O8" i="33"/>
  <c r="F7" i="33"/>
  <c r="O6" i="33"/>
  <c r="B1" i="33"/>
  <c r="G37" i="33"/>
  <c r="O92" i="32"/>
  <c r="L92" i="32"/>
  <c r="I92" i="32"/>
  <c r="O46" i="32"/>
  <c r="L46" i="32"/>
  <c r="O44" i="32"/>
  <c r="I44" i="32"/>
  <c r="L43" i="32"/>
  <c r="O42" i="32"/>
  <c r="O39" i="32"/>
  <c r="I39" i="32"/>
  <c r="L38" i="32"/>
  <c r="O36" i="32"/>
  <c r="L35" i="32"/>
  <c r="F35" i="32"/>
  <c r="K32" i="32"/>
  <c r="J32" i="32"/>
  <c r="H32" i="32"/>
  <c r="I34" i="32"/>
  <c r="E32" i="32"/>
  <c r="D32" i="32"/>
  <c r="L29" i="32"/>
  <c r="I28" i="32"/>
  <c r="F28" i="32"/>
  <c r="O27" i="32"/>
  <c r="L27" i="32"/>
  <c r="I27" i="32"/>
  <c r="K30" i="32"/>
  <c r="E30" i="32"/>
  <c r="I25" i="32"/>
  <c r="O22" i="32"/>
  <c r="I22" i="32"/>
  <c r="N98" i="32"/>
  <c r="F20" i="32"/>
  <c r="O19" i="32"/>
  <c r="F19" i="32"/>
  <c r="O18" i="32"/>
  <c r="I18" i="32"/>
  <c r="O17" i="32"/>
  <c r="I17" i="32"/>
  <c r="O16" i="32"/>
  <c r="I16" i="32"/>
  <c r="F16" i="32"/>
  <c r="L15" i="32"/>
  <c r="I15" i="32"/>
  <c r="I14" i="32"/>
  <c r="L13" i="32"/>
  <c r="I13" i="32"/>
  <c r="O12" i="32"/>
  <c r="I12" i="32"/>
  <c r="F12" i="32"/>
  <c r="O11" i="32"/>
  <c r="I11" i="32"/>
  <c r="I10" i="32"/>
  <c r="F10" i="32"/>
  <c r="O9" i="32"/>
  <c r="I9" i="32"/>
  <c r="I8" i="32"/>
  <c r="F8" i="32"/>
  <c r="I7" i="32"/>
  <c r="M4" i="32"/>
  <c r="D37" i="32"/>
  <c r="F92" i="32"/>
  <c r="I46" i="32"/>
  <c r="L44" i="32"/>
  <c r="O43" i="32"/>
  <c r="I43" i="32"/>
  <c r="F43" i="32"/>
  <c r="O41" i="32"/>
  <c r="L41" i="32"/>
  <c r="I41" i="32"/>
  <c r="F41" i="32"/>
  <c r="L39" i="32"/>
  <c r="I35" i="32"/>
  <c r="N32" i="32"/>
  <c r="I33" i="32"/>
  <c r="F33" i="32"/>
  <c r="I29" i="32"/>
  <c r="F29" i="32"/>
  <c r="O28" i="32"/>
  <c r="L28" i="32"/>
  <c r="F27" i="32"/>
  <c r="M30" i="32"/>
  <c r="L25" i="32"/>
  <c r="F25" i="32"/>
  <c r="L22" i="32"/>
  <c r="L19" i="32"/>
  <c r="F17" i="32"/>
  <c r="O15" i="32"/>
  <c r="F14" i="32"/>
  <c r="O13" i="32"/>
  <c r="F13" i="32"/>
  <c r="L11" i="32"/>
  <c r="L9" i="32"/>
  <c r="O8" i="32"/>
  <c r="O7" i="32"/>
  <c r="L7" i="32"/>
  <c r="G23" i="32"/>
  <c r="G37" i="32"/>
  <c r="O92" i="31"/>
  <c r="I92" i="31"/>
  <c r="I46" i="31"/>
  <c r="L44" i="31"/>
  <c r="F44" i="31"/>
  <c r="F43" i="31"/>
  <c r="F42" i="31"/>
  <c r="L41" i="31"/>
  <c r="I41" i="31"/>
  <c r="F41" i="31"/>
  <c r="F39" i="31"/>
  <c r="L38" i="31"/>
  <c r="O36" i="31"/>
  <c r="I36" i="31"/>
  <c r="O35" i="31"/>
  <c r="L35" i="31"/>
  <c r="K32" i="31"/>
  <c r="I34" i="31"/>
  <c r="J32" i="31"/>
  <c r="E32" i="31"/>
  <c r="E40" i="31"/>
  <c r="D32" i="31"/>
  <c r="O29" i="31"/>
  <c r="F29" i="31"/>
  <c r="I28" i="31"/>
  <c r="F28" i="31"/>
  <c r="F27" i="31"/>
  <c r="N30" i="31"/>
  <c r="K30" i="31"/>
  <c r="E30" i="31"/>
  <c r="O25" i="31"/>
  <c r="L25" i="31"/>
  <c r="L22" i="31"/>
  <c r="N98" i="31"/>
  <c r="O19" i="31"/>
  <c r="F19" i="31"/>
  <c r="O18" i="31"/>
  <c r="L18" i="31"/>
  <c r="O17" i="31"/>
  <c r="I17" i="31"/>
  <c r="F17" i="31"/>
  <c r="O16" i="31"/>
  <c r="L16" i="31"/>
  <c r="I16" i="31"/>
  <c r="F16" i="31"/>
  <c r="O14" i="31"/>
  <c r="L14" i="31"/>
  <c r="I14" i="31"/>
  <c r="F14" i="31"/>
  <c r="O12" i="31"/>
  <c r="L12" i="31"/>
  <c r="I12" i="31"/>
  <c r="F12" i="31"/>
  <c r="F11" i="31"/>
  <c r="L10" i="31"/>
  <c r="I10" i="31"/>
  <c r="F10" i="31"/>
  <c r="L8" i="31"/>
  <c r="I8" i="31"/>
  <c r="F8" i="31"/>
  <c r="G23" i="31"/>
  <c r="M4" i="31"/>
  <c r="F92" i="31"/>
  <c r="O46" i="31"/>
  <c r="L46" i="31"/>
  <c r="O43" i="31"/>
  <c r="L43" i="31"/>
  <c r="I43" i="31"/>
  <c r="O41" i="31"/>
  <c r="I38" i="31"/>
  <c r="H32" i="31"/>
  <c r="I35" i="31"/>
  <c r="F34" i="31"/>
  <c r="N32" i="31"/>
  <c r="N40" i="31"/>
  <c r="L29" i="31"/>
  <c r="I29" i="31"/>
  <c r="O27" i="31"/>
  <c r="L27" i="31"/>
  <c r="I27" i="31"/>
  <c r="I26" i="31"/>
  <c r="O22" i="31"/>
  <c r="I22" i="31"/>
  <c r="O20" i="31"/>
  <c r="F18" i="31"/>
  <c r="O15" i="31"/>
  <c r="I13" i="31"/>
  <c r="O10" i="31"/>
  <c r="O9" i="31"/>
  <c r="I9" i="31"/>
  <c r="O8" i="31"/>
  <c r="O7" i="31"/>
  <c r="G37" i="31"/>
  <c r="O92" i="30"/>
  <c r="L92" i="30"/>
  <c r="I92" i="30"/>
  <c r="F92" i="30"/>
  <c r="I46" i="30"/>
  <c r="F44" i="30"/>
  <c r="O43" i="30"/>
  <c r="L43" i="30"/>
  <c r="F43" i="30"/>
  <c r="L42" i="30"/>
  <c r="F42" i="30"/>
  <c r="O41" i="30"/>
  <c r="F39" i="30"/>
  <c r="L38" i="30"/>
  <c r="L36" i="30"/>
  <c r="I36" i="30"/>
  <c r="I35" i="30"/>
  <c r="O34" i="30"/>
  <c r="L34" i="30"/>
  <c r="I34" i="30"/>
  <c r="F34" i="30"/>
  <c r="N32" i="30"/>
  <c r="M32" i="30"/>
  <c r="H32" i="30"/>
  <c r="D32" i="30"/>
  <c r="O29" i="30"/>
  <c r="L29" i="30"/>
  <c r="I29" i="30"/>
  <c r="L28" i="30"/>
  <c r="F28" i="30"/>
  <c r="O27" i="30"/>
  <c r="H30" i="30"/>
  <c r="F27" i="30"/>
  <c r="N30" i="30"/>
  <c r="L26" i="30"/>
  <c r="E30" i="30"/>
  <c r="O25" i="30"/>
  <c r="I25" i="30"/>
  <c r="F25" i="30"/>
  <c r="O22" i="30"/>
  <c r="O20" i="30"/>
  <c r="O19" i="30"/>
  <c r="I19" i="30"/>
  <c r="F19" i="30"/>
  <c r="L18" i="30"/>
  <c r="O17" i="30"/>
  <c r="I17" i="30"/>
  <c r="F17" i="30"/>
  <c r="L16" i="30"/>
  <c r="I16" i="30"/>
  <c r="O15" i="30"/>
  <c r="I15" i="30"/>
  <c r="F15" i="30"/>
  <c r="L14" i="30"/>
  <c r="I14" i="30"/>
  <c r="O13" i="30"/>
  <c r="L13" i="30"/>
  <c r="O12" i="30"/>
  <c r="L12" i="30"/>
  <c r="I12" i="30"/>
  <c r="O11" i="30"/>
  <c r="O10" i="30"/>
  <c r="L10" i="30"/>
  <c r="I10" i="30"/>
  <c r="O9" i="30"/>
  <c r="L9" i="30"/>
  <c r="I9" i="30"/>
  <c r="F9" i="30"/>
  <c r="O8" i="30"/>
  <c r="L8" i="30"/>
  <c r="I8" i="30"/>
  <c r="O7" i="30"/>
  <c r="F7" i="30"/>
  <c r="M4" i="30"/>
  <c r="D37" i="30"/>
  <c r="O46" i="30"/>
  <c r="L44" i="30"/>
  <c r="L41" i="30"/>
  <c r="F41" i="30"/>
  <c r="L39" i="30"/>
  <c r="L35" i="30"/>
  <c r="F35" i="30"/>
  <c r="I33" i="30"/>
  <c r="F29" i="30"/>
  <c r="L27" i="30"/>
  <c r="I26" i="30"/>
  <c r="L25" i="30"/>
  <c r="L22" i="30"/>
  <c r="I22" i="30"/>
  <c r="I20" i="30"/>
  <c r="L19" i="30"/>
  <c r="O18" i="30"/>
  <c r="I18" i="30"/>
  <c r="O16" i="30"/>
  <c r="F16" i="30"/>
  <c r="O14" i="30"/>
  <c r="F14" i="30"/>
  <c r="I13" i="30"/>
  <c r="F13" i="30"/>
  <c r="F12" i="30"/>
  <c r="I11" i="30"/>
  <c r="F11" i="30"/>
  <c r="F10" i="30"/>
  <c r="F8" i="30"/>
  <c r="I7" i="30"/>
  <c r="F6" i="30"/>
  <c r="G37" i="30"/>
  <c r="O92" i="29"/>
  <c r="L92" i="29"/>
  <c r="I92" i="29"/>
  <c r="O46" i="29"/>
  <c r="I46" i="29"/>
  <c r="O44" i="29"/>
  <c r="F44" i="29"/>
  <c r="O43" i="29"/>
  <c r="I43" i="29"/>
  <c r="O42" i="29"/>
  <c r="F42" i="29"/>
  <c r="L41" i="29"/>
  <c r="I41" i="29"/>
  <c r="O39" i="29"/>
  <c r="L39" i="29"/>
  <c r="F39" i="29"/>
  <c r="I38" i="29"/>
  <c r="O36" i="29"/>
  <c r="I36" i="29"/>
  <c r="O35" i="29"/>
  <c r="M32" i="29"/>
  <c r="K32" i="29"/>
  <c r="I34" i="29"/>
  <c r="N32" i="29"/>
  <c r="N40" i="29"/>
  <c r="E32" i="29"/>
  <c r="E40" i="29"/>
  <c r="D32" i="29"/>
  <c r="O29" i="29"/>
  <c r="I29" i="29"/>
  <c r="O28" i="29"/>
  <c r="F28" i="29"/>
  <c r="O27" i="29"/>
  <c r="F27" i="29"/>
  <c r="K30" i="29"/>
  <c r="G30" i="29"/>
  <c r="E30" i="29"/>
  <c r="O25" i="29"/>
  <c r="L25" i="29"/>
  <c r="I25" i="29"/>
  <c r="O22" i="29"/>
  <c r="N98" i="29"/>
  <c r="O19" i="29"/>
  <c r="F19" i="29"/>
  <c r="L18" i="29"/>
  <c r="I18" i="29"/>
  <c r="I17" i="29"/>
  <c r="O16" i="29"/>
  <c r="I16" i="29"/>
  <c r="F16" i="29"/>
  <c r="F15" i="29"/>
  <c r="O14" i="29"/>
  <c r="L14" i="29"/>
  <c r="I14" i="29"/>
  <c r="F14" i="29"/>
  <c r="L13" i="29"/>
  <c r="O12" i="29"/>
  <c r="I12" i="29"/>
  <c r="F12" i="29"/>
  <c r="F11" i="29"/>
  <c r="O10" i="29"/>
  <c r="L10" i="29"/>
  <c r="I10" i="29"/>
  <c r="F10" i="29"/>
  <c r="O8" i="29"/>
  <c r="I8" i="29"/>
  <c r="L7" i="29"/>
  <c r="F7" i="29"/>
  <c r="M4" i="29"/>
  <c r="G37" i="29"/>
  <c r="F92" i="29"/>
  <c r="L46" i="29"/>
  <c r="F43" i="29"/>
  <c r="O41" i="29"/>
  <c r="F41" i="29"/>
  <c r="L35" i="29"/>
  <c r="I35" i="29"/>
  <c r="F29" i="29"/>
  <c r="L27" i="29"/>
  <c r="I27" i="29"/>
  <c r="N30" i="29"/>
  <c r="O26" i="29"/>
  <c r="L22" i="29"/>
  <c r="I22" i="29"/>
  <c r="I19" i="29"/>
  <c r="O18" i="29"/>
  <c r="O17" i="29"/>
  <c r="F17" i="29"/>
  <c r="L15" i="29"/>
  <c r="L11" i="29"/>
  <c r="L9" i="29"/>
  <c r="F8" i="29"/>
  <c r="L92" i="28"/>
  <c r="I92" i="28"/>
  <c r="O46" i="28"/>
  <c r="N98" i="28"/>
  <c r="O44" i="28"/>
  <c r="L44" i="28"/>
  <c r="I44" i="28"/>
  <c r="F43" i="28"/>
  <c r="L42" i="28"/>
  <c r="I42" i="28"/>
  <c r="F42" i="28"/>
  <c r="O41" i="28"/>
  <c r="I41" i="28"/>
  <c r="F41" i="28"/>
  <c r="O39" i="28"/>
  <c r="I39" i="28"/>
  <c r="I38" i="28"/>
  <c r="O36" i="28"/>
  <c r="I36" i="28"/>
  <c r="L35" i="28"/>
  <c r="I35" i="28"/>
  <c r="F35" i="28"/>
  <c r="M32" i="28"/>
  <c r="J32" i="28"/>
  <c r="I33" i="28"/>
  <c r="D32" i="28"/>
  <c r="O29" i="28"/>
  <c r="I28" i="28"/>
  <c r="F28" i="28"/>
  <c r="I27" i="28"/>
  <c r="N30" i="28"/>
  <c r="L26" i="28"/>
  <c r="H30" i="28"/>
  <c r="I26" i="28"/>
  <c r="F25" i="28"/>
  <c r="O22" i="28"/>
  <c r="L22" i="28"/>
  <c r="I20" i="28"/>
  <c r="F20" i="28"/>
  <c r="O19" i="28"/>
  <c r="L19" i="28"/>
  <c r="I19" i="28"/>
  <c r="F19" i="28"/>
  <c r="O18" i="28"/>
  <c r="L18" i="28"/>
  <c r="I18" i="28"/>
  <c r="F18" i="28"/>
  <c r="O17" i="28"/>
  <c r="F17" i="28"/>
  <c r="O16" i="28"/>
  <c r="I16" i="28"/>
  <c r="F16" i="28"/>
  <c r="O15" i="28"/>
  <c r="I15" i="28"/>
  <c r="F15" i="28"/>
  <c r="I14" i="28"/>
  <c r="F14" i="28"/>
  <c r="O13" i="28"/>
  <c r="I13" i="28"/>
  <c r="F13" i="28"/>
  <c r="F12" i="28"/>
  <c r="O11" i="28"/>
  <c r="F11" i="28"/>
  <c r="I10" i="28"/>
  <c r="F10" i="28"/>
  <c r="O9" i="28"/>
  <c r="L9" i="28"/>
  <c r="F9" i="28"/>
  <c r="F8" i="28"/>
  <c r="O7" i="28"/>
  <c r="L7" i="28"/>
  <c r="G23" i="28"/>
  <c r="F7" i="28"/>
  <c r="M4" i="28"/>
  <c r="D37" i="28"/>
  <c r="F92" i="28"/>
  <c r="I46" i="28"/>
  <c r="O43" i="28"/>
  <c r="L41" i="28"/>
  <c r="L39" i="28"/>
  <c r="L38" i="28"/>
  <c r="I34" i="28"/>
  <c r="L29" i="28"/>
  <c r="I29" i="28"/>
  <c r="F29" i="28"/>
  <c r="L28" i="28"/>
  <c r="O27" i="28"/>
  <c r="F27" i="28"/>
  <c r="O25" i="28"/>
  <c r="L25" i="28"/>
  <c r="I22" i="28"/>
  <c r="O20" i="28"/>
  <c r="I17" i="28"/>
  <c r="L15" i="28"/>
  <c r="L13" i="28"/>
  <c r="L11" i="28"/>
  <c r="I9" i="28"/>
  <c r="D23" i="28"/>
  <c r="G37" i="28"/>
  <c r="O92" i="27"/>
  <c r="I92" i="27"/>
  <c r="L46" i="27"/>
  <c r="O44" i="27"/>
  <c r="L44" i="27"/>
  <c r="I44" i="27"/>
  <c r="F44" i="27"/>
  <c r="I43" i="27"/>
  <c r="O42" i="27"/>
  <c r="F42" i="27"/>
  <c r="I41" i="27"/>
  <c r="O39" i="27"/>
  <c r="L39" i="27"/>
  <c r="I39" i="27"/>
  <c r="F39" i="27"/>
  <c r="O35" i="27"/>
  <c r="L35" i="27"/>
  <c r="I35" i="27"/>
  <c r="N32" i="27"/>
  <c r="I33" i="27"/>
  <c r="E32" i="27"/>
  <c r="D32" i="27"/>
  <c r="I29" i="27"/>
  <c r="L28" i="27"/>
  <c r="I28" i="27"/>
  <c r="L27" i="27"/>
  <c r="I27" i="27"/>
  <c r="F27" i="27"/>
  <c r="K30" i="27"/>
  <c r="I26" i="27"/>
  <c r="I25" i="27"/>
  <c r="O22" i="27"/>
  <c r="L22" i="27"/>
  <c r="N98" i="27"/>
  <c r="O19" i="27"/>
  <c r="L19" i="27"/>
  <c r="D23" i="27"/>
  <c r="L18" i="27"/>
  <c r="I18" i="27"/>
  <c r="O17" i="27"/>
  <c r="I17" i="27"/>
  <c r="O16" i="27"/>
  <c r="O15" i="27"/>
  <c r="I15" i="27"/>
  <c r="O14" i="27"/>
  <c r="O13" i="27"/>
  <c r="L13" i="27"/>
  <c r="I13" i="27"/>
  <c r="F13" i="27"/>
  <c r="O12" i="27"/>
  <c r="O11" i="27"/>
  <c r="I11" i="27"/>
  <c r="F11" i="27"/>
  <c r="O10" i="27"/>
  <c r="F10" i="27"/>
  <c r="O9" i="27"/>
  <c r="L9" i="27"/>
  <c r="I9" i="27"/>
  <c r="O8" i="27"/>
  <c r="O7" i="27"/>
  <c r="I7" i="27"/>
  <c r="M4" i="27"/>
  <c r="F92" i="27"/>
  <c r="I46" i="27"/>
  <c r="F43" i="27"/>
  <c r="F41" i="27"/>
  <c r="I38" i="27"/>
  <c r="G32" i="27"/>
  <c r="L29" i="27"/>
  <c r="F29" i="27"/>
  <c r="O28" i="27"/>
  <c r="L25" i="27"/>
  <c r="F25" i="27"/>
  <c r="I22" i="27"/>
  <c r="F20" i="27"/>
  <c r="I19" i="27"/>
  <c r="F19" i="27"/>
  <c r="F17" i="27"/>
  <c r="L15" i="27"/>
  <c r="F14" i="27"/>
  <c r="L11" i="27"/>
  <c r="L7" i="27"/>
  <c r="F7" i="27"/>
  <c r="G37" i="27"/>
  <c r="O92" i="26"/>
  <c r="L92" i="26"/>
  <c r="I92" i="26"/>
  <c r="L46" i="26"/>
  <c r="O44" i="26"/>
  <c r="F44" i="26"/>
  <c r="O43" i="26"/>
  <c r="F43" i="26"/>
  <c r="O42" i="26"/>
  <c r="F42" i="26"/>
  <c r="F41" i="26"/>
  <c r="O39" i="26"/>
  <c r="F39" i="26"/>
  <c r="I36" i="26"/>
  <c r="O35" i="26"/>
  <c r="L35" i="26"/>
  <c r="I35" i="26"/>
  <c r="L34" i="26"/>
  <c r="I34" i="26"/>
  <c r="N32" i="26"/>
  <c r="I33" i="26"/>
  <c r="O29" i="26"/>
  <c r="I29" i="26"/>
  <c r="O28" i="26"/>
  <c r="I28" i="26"/>
  <c r="F28" i="26"/>
  <c r="I27" i="26"/>
  <c r="D30" i="26"/>
  <c r="J30" i="26"/>
  <c r="G30" i="26"/>
  <c r="E30" i="26"/>
  <c r="O25" i="26"/>
  <c r="I25" i="26"/>
  <c r="F25" i="26"/>
  <c r="O19" i="26"/>
  <c r="F19" i="26"/>
  <c r="O18" i="26"/>
  <c r="I18" i="26"/>
  <c r="O17" i="26"/>
  <c r="I17" i="26"/>
  <c r="F17" i="26"/>
  <c r="L16" i="26"/>
  <c r="I16" i="26"/>
  <c r="O15" i="26"/>
  <c r="I15" i="26"/>
  <c r="F15" i="26"/>
  <c r="L14" i="26"/>
  <c r="O13" i="26"/>
  <c r="I13" i="26"/>
  <c r="F13" i="26"/>
  <c r="L12" i="26"/>
  <c r="I12" i="26"/>
  <c r="O11" i="26"/>
  <c r="L11" i="26"/>
  <c r="I11" i="26"/>
  <c r="F11" i="26"/>
  <c r="L10" i="26"/>
  <c r="I10" i="26"/>
  <c r="O9" i="26"/>
  <c r="L9" i="26"/>
  <c r="I9" i="26"/>
  <c r="F9" i="26"/>
  <c r="L8" i="26"/>
  <c r="I8" i="26"/>
  <c r="I7" i="26"/>
  <c r="F7" i="26"/>
  <c r="M4" i="26"/>
  <c r="F92" i="26"/>
  <c r="I46" i="26"/>
  <c r="L44" i="26"/>
  <c r="I43" i="26"/>
  <c r="I41" i="26"/>
  <c r="L39" i="26"/>
  <c r="I38" i="26"/>
  <c r="F38" i="26"/>
  <c r="J37" i="26"/>
  <c r="F36" i="26"/>
  <c r="M32" i="26"/>
  <c r="E32" i="26"/>
  <c r="L29" i="26"/>
  <c r="F29" i="26"/>
  <c r="F27" i="26"/>
  <c r="L26" i="26"/>
  <c r="O22" i="26"/>
  <c r="L22" i="26"/>
  <c r="I22" i="26"/>
  <c r="F20" i="26"/>
  <c r="L19" i="26"/>
  <c r="F18" i="26"/>
  <c r="L15" i="26"/>
  <c r="L13" i="26"/>
  <c r="O7" i="26"/>
  <c r="L7" i="26"/>
  <c r="G37" i="26"/>
  <c r="O92" i="25"/>
  <c r="L92" i="25"/>
  <c r="O46" i="25"/>
  <c r="L46" i="25"/>
  <c r="L44" i="25"/>
  <c r="I44" i="25"/>
  <c r="O43" i="25"/>
  <c r="L43" i="25"/>
  <c r="O42" i="25"/>
  <c r="L42" i="25"/>
  <c r="I42" i="25"/>
  <c r="F42" i="25"/>
  <c r="L41" i="25"/>
  <c r="L39" i="25"/>
  <c r="I39" i="25"/>
  <c r="L38" i="25"/>
  <c r="O36" i="25"/>
  <c r="L36" i="25"/>
  <c r="I36" i="25"/>
  <c r="F36" i="25"/>
  <c r="M32" i="25"/>
  <c r="I34" i="25"/>
  <c r="F34" i="25"/>
  <c r="N32" i="25"/>
  <c r="I33" i="25"/>
  <c r="F33" i="25"/>
  <c r="I29" i="25"/>
  <c r="L28" i="25"/>
  <c r="I28" i="25"/>
  <c r="O27" i="25"/>
  <c r="L27" i="25"/>
  <c r="H30" i="25"/>
  <c r="M30" i="25"/>
  <c r="L26" i="25"/>
  <c r="I26" i="25"/>
  <c r="L25" i="25"/>
  <c r="L22" i="25"/>
  <c r="I22" i="25"/>
  <c r="F19" i="25"/>
  <c r="O18" i="25"/>
  <c r="I18" i="25"/>
  <c r="F18" i="25"/>
  <c r="O17" i="25"/>
  <c r="O16" i="25"/>
  <c r="I16" i="25"/>
  <c r="F16" i="25"/>
  <c r="O15" i="25"/>
  <c r="O14" i="25"/>
  <c r="F14" i="25"/>
  <c r="F13" i="25"/>
  <c r="O12" i="25"/>
  <c r="I12" i="25"/>
  <c r="F12" i="25"/>
  <c r="O11" i="25"/>
  <c r="I11" i="25"/>
  <c r="F11" i="25"/>
  <c r="O10" i="25"/>
  <c r="F10" i="25"/>
  <c r="I9" i="25"/>
  <c r="F9" i="25"/>
  <c r="O8" i="25"/>
  <c r="I8" i="25"/>
  <c r="F8" i="25"/>
  <c r="I7" i="25"/>
  <c r="F7" i="25"/>
  <c r="M4" i="25"/>
  <c r="B1" i="25"/>
  <c r="F92" i="25"/>
  <c r="I46" i="25"/>
  <c r="O44" i="25"/>
  <c r="I43" i="25"/>
  <c r="O41" i="25"/>
  <c r="I41" i="25"/>
  <c r="F41" i="25"/>
  <c r="O39" i="25"/>
  <c r="I38" i="25"/>
  <c r="F38" i="25"/>
  <c r="O35" i="25"/>
  <c r="I35" i="25"/>
  <c r="F29" i="25"/>
  <c r="O28" i="25"/>
  <c r="I27" i="25"/>
  <c r="F27" i="25"/>
  <c r="I25" i="25"/>
  <c r="F25" i="25"/>
  <c r="O22" i="25"/>
  <c r="O19" i="25"/>
  <c r="I19" i="25"/>
  <c r="L18" i="25"/>
  <c r="I17" i="25"/>
  <c r="F17" i="25"/>
  <c r="L15" i="25"/>
  <c r="I15" i="25"/>
  <c r="F15" i="25"/>
  <c r="O13" i="25"/>
  <c r="L13" i="25"/>
  <c r="I13" i="25"/>
  <c r="L11" i="25"/>
  <c r="I10" i="25"/>
  <c r="O9" i="25"/>
  <c r="L9" i="25"/>
  <c r="L7" i="25"/>
  <c r="G23" i="25"/>
  <c r="D23" i="25"/>
  <c r="I92" i="24"/>
  <c r="F92" i="24"/>
  <c r="O46" i="24"/>
  <c r="L46" i="24"/>
  <c r="I46" i="24"/>
  <c r="O44" i="24"/>
  <c r="O43" i="24"/>
  <c r="L43" i="24"/>
  <c r="O42" i="24"/>
  <c r="L42" i="24"/>
  <c r="I42" i="24"/>
  <c r="F42" i="24"/>
  <c r="O41" i="24"/>
  <c r="L41" i="24"/>
  <c r="I41" i="24"/>
  <c r="I39" i="24"/>
  <c r="L38" i="24"/>
  <c r="I38" i="24"/>
  <c r="O36" i="24"/>
  <c r="L36" i="24"/>
  <c r="I36" i="24"/>
  <c r="F36" i="24"/>
  <c r="O35" i="24"/>
  <c r="F35" i="24"/>
  <c r="J32" i="24"/>
  <c r="H32" i="24"/>
  <c r="H40" i="24"/>
  <c r="N32" i="24"/>
  <c r="M32" i="24"/>
  <c r="E32" i="24"/>
  <c r="O29" i="24"/>
  <c r="F29" i="24"/>
  <c r="O28" i="24"/>
  <c r="L28" i="24"/>
  <c r="I28" i="24"/>
  <c r="O27" i="24"/>
  <c r="L27" i="24"/>
  <c r="H30" i="24"/>
  <c r="I27" i="24"/>
  <c r="M30" i="24"/>
  <c r="K30" i="24"/>
  <c r="L26" i="24"/>
  <c r="I26" i="24"/>
  <c r="F26" i="24"/>
  <c r="O25" i="24"/>
  <c r="F25" i="24"/>
  <c r="I22" i="24"/>
  <c r="F19" i="24"/>
  <c r="O18" i="24"/>
  <c r="I18" i="24"/>
  <c r="O17" i="24"/>
  <c r="I17" i="24"/>
  <c r="F17" i="24"/>
  <c r="O16" i="24"/>
  <c r="L16" i="24"/>
  <c r="I16" i="24"/>
  <c r="O15" i="24"/>
  <c r="L15" i="24"/>
  <c r="O14" i="24"/>
  <c r="L14" i="24"/>
  <c r="I14" i="24"/>
  <c r="F14" i="24"/>
  <c r="O13" i="24"/>
  <c r="F13" i="24"/>
  <c r="L12" i="24"/>
  <c r="I12" i="24"/>
  <c r="O11" i="24"/>
  <c r="L11" i="24"/>
  <c r="I11" i="24"/>
  <c r="O10" i="24"/>
  <c r="L10" i="24"/>
  <c r="I10" i="24"/>
  <c r="F10" i="24"/>
  <c r="L9" i="24"/>
  <c r="I9" i="24"/>
  <c r="F9" i="24"/>
  <c r="L8" i="24"/>
  <c r="I8" i="24"/>
  <c r="I7" i="24"/>
  <c r="H96" i="24"/>
  <c r="H97" i="24"/>
  <c r="G37" i="24"/>
  <c r="L92" i="24"/>
  <c r="L44" i="24"/>
  <c r="I44" i="24"/>
  <c r="I43" i="24"/>
  <c r="F43" i="24"/>
  <c r="F41" i="24"/>
  <c r="O39" i="24"/>
  <c r="L39" i="24"/>
  <c r="L35" i="24"/>
  <c r="I35" i="24"/>
  <c r="I34" i="24"/>
  <c r="F34" i="24"/>
  <c r="I33" i="24"/>
  <c r="G32" i="24"/>
  <c r="L29" i="24"/>
  <c r="I29" i="24"/>
  <c r="F27" i="24"/>
  <c r="L25" i="24"/>
  <c r="I25" i="24"/>
  <c r="O22" i="24"/>
  <c r="L22" i="24"/>
  <c r="F20" i="24"/>
  <c r="O19" i="24"/>
  <c r="I19" i="24"/>
  <c r="F18" i="24"/>
  <c r="F16" i="24"/>
  <c r="I15" i="24"/>
  <c r="F15" i="24"/>
  <c r="I13" i="24"/>
  <c r="O12" i="24"/>
  <c r="F12" i="24"/>
  <c r="F11" i="24"/>
  <c r="O9" i="24"/>
  <c r="O8" i="24"/>
  <c r="F8" i="24"/>
  <c r="F7" i="24"/>
  <c r="O6" i="24"/>
  <c r="D23" i="24"/>
  <c r="M4" i="24"/>
  <c r="O92" i="23"/>
  <c r="O46" i="23"/>
  <c r="L46" i="23"/>
  <c r="I46" i="23"/>
  <c r="L44" i="23"/>
  <c r="I44" i="23"/>
  <c r="L43" i="23"/>
  <c r="F43" i="23"/>
  <c r="L42" i="23"/>
  <c r="I42" i="23"/>
  <c r="L41" i="23"/>
  <c r="I41" i="23"/>
  <c r="F41" i="23"/>
  <c r="I39" i="23"/>
  <c r="L38" i="23"/>
  <c r="F38" i="23"/>
  <c r="O36" i="23"/>
  <c r="I36" i="23"/>
  <c r="F36" i="23"/>
  <c r="O35" i="23"/>
  <c r="L35" i="23"/>
  <c r="I34" i="23"/>
  <c r="F34" i="23"/>
  <c r="N32" i="23"/>
  <c r="N40" i="23"/>
  <c r="J32" i="23"/>
  <c r="D32" i="23"/>
  <c r="L29" i="23"/>
  <c r="I29" i="23"/>
  <c r="L28" i="23"/>
  <c r="I28" i="23"/>
  <c r="L27" i="23"/>
  <c r="I27" i="23"/>
  <c r="E30" i="23"/>
  <c r="F27" i="23"/>
  <c r="I26" i="23"/>
  <c r="F26" i="23"/>
  <c r="L25" i="23"/>
  <c r="I25" i="23"/>
  <c r="F25" i="23"/>
  <c r="L22" i="23"/>
  <c r="N98" i="23"/>
  <c r="L20" i="23"/>
  <c r="L19" i="23"/>
  <c r="F19" i="23"/>
  <c r="O18" i="23"/>
  <c r="L18" i="23"/>
  <c r="F17" i="23"/>
  <c r="O16" i="23"/>
  <c r="L16" i="23"/>
  <c r="I16" i="23"/>
  <c r="F16" i="23"/>
  <c r="O15" i="23"/>
  <c r="L15" i="23"/>
  <c r="F15" i="23"/>
  <c r="O14" i="23"/>
  <c r="L14" i="23"/>
  <c r="O13" i="23"/>
  <c r="L13" i="23"/>
  <c r="F13" i="23"/>
  <c r="O12" i="23"/>
  <c r="L12" i="23"/>
  <c r="F12" i="23"/>
  <c r="O11" i="23"/>
  <c r="F11" i="23"/>
  <c r="O10" i="23"/>
  <c r="L10" i="23"/>
  <c r="O9" i="23"/>
  <c r="L9" i="23"/>
  <c r="I9" i="23"/>
  <c r="F9" i="23"/>
  <c r="O8" i="23"/>
  <c r="L8" i="23"/>
  <c r="F8" i="23"/>
  <c r="O7" i="23"/>
  <c r="F7" i="23"/>
  <c r="M4" i="23"/>
  <c r="J37" i="23"/>
  <c r="I92" i="23"/>
  <c r="F92" i="23"/>
  <c r="F44" i="23"/>
  <c r="O43" i="23"/>
  <c r="I43" i="23"/>
  <c r="F42" i="23"/>
  <c r="O41" i="23"/>
  <c r="L39" i="23"/>
  <c r="F39" i="23"/>
  <c r="I38" i="23"/>
  <c r="L36" i="23"/>
  <c r="F35" i="23"/>
  <c r="M32" i="23"/>
  <c r="L34" i="23"/>
  <c r="H32" i="23"/>
  <c r="E32" i="23"/>
  <c r="N30" i="23"/>
  <c r="F29" i="23"/>
  <c r="O28" i="23"/>
  <c r="F28" i="23"/>
  <c r="M30" i="23"/>
  <c r="K30" i="23"/>
  <c r="L26" i="23"/>
  <c r="O25" i="23"/>
  <c r="O22" i="23"/>
  <c r="I22" i="23"/>
  <c r="I20" i="23"/>
  <c r="I98" i="23"/>
  <c r="O19" i="23"/>
  <c r="I18" i="23"/>
  <c r="O17" i="23"/>
  <c r="I17" i="23"/>
  <c r="I15" i="23"/>
  <c r="I14" i="23"/>
  <c r="F14" i="23"/>
  <c r="I13" i="23"/>
  <c r="I12" i="23"/>
  <c r="I11" i="23"/>
  <c r="I10" i="23"/>
  <c r="F10" i="23"/>
  <c r="I8" i="23"/>
  <c r="I7" i="23"/>
  <c r="M23" i="23"/>
  <c r="G23" i="23"/>
  <c r="D23" i="23"/>
  <c r="O92" i="22"/>
  <c r="L92" i="22"/>
  <c r="L44" i="22"/>
  <c r="I44" i="22"/>
  <c r="I43" i="22"/>
  <c r="F43" i="22"/>
  <c r="L42" i="22"/>
  <c r="I42" i="22"/>
  <c r="L39" i="22"/>
  <c r="I39" i="22"/>
  <c r="F39" i="22"/>
  <c r="I38" i="22"/>
  <c r="O36" i="22"/>
  <c r="L36" i="22"/>
  <c r="L35" i="22"/>
  <c r="I35" i="22"/>
  <c r="F35" i="22"/>
  <c r="O34" i="22"/>
  <c r="E32" i="22"/>
  <c r="L28" i="22"/>
  <c r="I28" i="22"/>
  <c r="F28" i="22"/>
  <c r="F27" i="22"/>
  <c r="N30" i="22"/>
  <c r="M30" i="22"/>
  <c r="K30" i="22"/>
  <c r="L26" i="22"/>
  <c r="E30" i="22"/>
  <c r="F25" i="22"/>
  <c r="O22" i="22"/>
  <c r="L22" i="22"/>
  <c r="N98" i="22"/>
  <c r="L19" i="22"/>
  <c r="I19" i="22"/>
  <c r="F19" i="22"/>
  <c r="O18" i="22"/>
  <c r="I18" i="22"/>
  <c r="F18" i="22"/>
  <c r="O17" i="22"/>
  <c r="I17" i="22"/>
  <c r="F17" i="22"/>
  <c r="O16" i="22"/>
  <c r="L16" i="22"/>
  <c r="L15" i="22"/>
  <c r="F15" i="22"/>
  <c r="O14" i="22"/>
  <c r="L14" i="22"/>
  <c r="L13" i="22"/>
  <c r="F13" i="22"/>
  <c r="L12" i="22"/>
  <c r="L11" i="22"/>
  <c r="O10" i="22"/>
  <c r="L10" i="22"/>
  <c r="I10" i="22"/>
  <c r="L9" i="22"/>
  <c r="F9" i="22"/>
  <c r="O8" i="22"/>
  <c r="L8" i="22"/>
  <c r="F7" i="22"/>
  <c r="G4" i="22"/>
  <c r="D37" i="22"/>
  <c r="I92" i="22"/>
  <c r="F92" i="22"/>
  <c r="L46" i="22"/>
  <c r="I46" i="22"/>
  <c r="F44" i="22"/>
  <c r="F42" i="22"/>
  <c r="I41" i="22"/>
  <c r="F41" i="22"/>
  <c r="F38" i="22"/>
  <c r="L34" i="22"/>
  <c r="M32" i="22"/>
  <c r="K32" i="22"/>
  <c r="I29" i="22"/>
  <c r="F29" i="22"/>
  <c r="F26" i="22"/>
  <c r="D30" i="22"/>
  <c r="I22" i="22"/>
  <c r="L18" i="22"/>
  <c r="I14" i="22"/>
  <c r="O13" i="22"/>
  <c r="O12" i="22"/>
  <c r="F11" i="22"/>
  <c r="O9" i="22"/>
  <c r="I92" i="21"/>
  <c r="F92" i="21"/>
  <c r="O46" i="21"/>
  <c r="I46" i="21"/>
  <c r="I44" i="21"/>
  <c r="L43" i="21"/>
  <c r="F43" i="21"/>
  <c r="L42" i="21"/>
  <c r="I42" i="21"/>
  <c r="F42" i="21"/>
  <c r="L41" i="21"/>
  <c r="F41" i="21"/>
  <c r="L39" i="21"/>
  <c r="I39" i="21"/>
  <c r="F39" i="21"/>
  <c r="L38" i="21"/>
  <c r="F38" i="21"/>
  <c r="L36" i="21"/>
  <c r="F36" i="21"/>
  <c r="O34" i="21"/>
  <c r="L34" i="21"/>
  <c r="F34" i="21"/>
  <c r="M32" i="21"/>
  <c r="K32" i="21"/>
  <c r="H32" i="21"/>
  <c r="L29" i="21"/>
  <c r="I29" i="21"/>
  <c r="O28" i="21"/>
  <c r="L28" i="21"/>
  <c r="I28" i="21"/>
  <c r="F28" i="21"/>
  <c r="L27" i="21"/>
  <c r="E30" i="21"/>
  <c r="N30" i="21"/>
  <c r="K30" i="21"/>
  <c r="L26" i="21"/>
  <c r="H30" i="21"/>
  <c r="F26" i="21"/>
  <c r="L25" i="21"/>
  <c r="I25" i="21"/>
  <c r="O22" i="21"/>
  <c r="N98" i="21"/>
  <c r="L19" i="21"/>
  <c r="I19" i="21"/>
  <c r="F19" i="21"/>
  <c r="O17" i="21"/>
  <c r="F17" i="21"/>
  <c r="O16" i="21"/>
  <c r="L16" i="21"/>
  <c r="F16" i="21"/>
  <c r="F15" i="21"/>
  <c r="O14" i="21"/>
  <c r="L14" i="21"/>
  <c r="F14" i="21"/>
  <c r="F13" i="21"/>
  <c r="L12" i="21"/>
  <c r="F12" i="21"/>
  <c r="F11" i="21"/>
  <c r="L10" i="21"/>
  <c r="F10" i="21"/>
  <c r="F9" i="21"/>
  <c r="O8" i="21"/>
  <c r="L8" i="21"/>
  <c r="F8" i="21"/>
  <c r="M23" i="21"/>
  <c r="F7" i="21"/>
  <c r="G4" i="21"/>
  <c r="L92" i="21"/>
  <c r="L44" i="21"/>
  <c r="F44" i="21"/>
  <c r="O36" i="21"/>
  <c r="F35" i="21"/>
  <c r="I34" i="21"/>
  <c r="N32" i="21"/>
  <c r="I33" i="21"/>
  <c r="E32" i="21"/>
  <c r="O25" i="21"/>
  <c r="L22" i="21"/>
  <c r="I22" i="21"/>
  <c r="L18" i="21"/>
  <c r="F18" i="21"/>
  <c r="I17" i="21"/>
  <c r="I14" i="21"/>
  <c r="O12" i="21"/>
  <c r="O10" i="21"/>
  <c r="I10" i="21"/>
  <c r="G23" i="21"/>
  <c r="L92" i="20"/>
  <c r="F92" i="20"/>
  <c r="F44" i="20"/>
  <c r="O43" i="20"/>
  <c r="F42" i="20"/>
  <c r="O41" i="20"/>
  <c r="I41" i="20"/>
  <c r="F41" i="20"/>
  <c r="L36" i="20"/>
  <c r="L35" i="20"/>
  <c r="O34" i="20"/>
  <c r="L34" i="20"/>
  <c r="E32" i="20"/>
  <c r="D32" i="20"/>
  <c r="O29" i="20"/>
  <c r="L29" i="20"/>
  <c r="F29" i="20"/>
  <c r="O28" i="20"/>
  <c r="L28" i="20"/>
  <c r="F28" i="20"/>
  <c r="K30" i="20"/>
  <c r="F27" i="20"/>
  <c r="M30" i="20"/>
  <c r="L26" i="20"/>
  <c r="H30" i="20"/>
  <c r="I26" i="20"/>
  <c r="F25" i="20"/>
  <c r="O22" i="20"/>
  <c r="L22" i="20"/>
  <c r="O19" i="20"/>
  <c r="L19" i="20"/>
  <c r="F19" i="20"/>
  <c r="O18" i="20"/>
  <c r="L18" i="20"/>
  <c r="O17" i="20"/>
  <c r="I17" i="20"/>
  <c r="O16" i="20"/>
  <c r="L16" i="20"/>
  <c r="L15" i="20"/>
  <c r="L14" i="20"/>
  <c r="O13" i="20"/>
  <c r="L13" i="20"/>
  <c r="I13" i="20"/>
  <c r="L12" i="20"/>
  <c r="L11" i="20"/>
  <c r="L10" i="20"/>
  <c r="O9" i="20"/>
  <c r="L9" i="20"/>
  <c r="I9" i="20"/>
  <c r="L8" i="20"/>
  <c r="L7" i="20"/>
  <c r="I7" i="20"/>
  <c r="G23" i="20"/>
  <c r="M23" i="20"/>
  <c r="M4" i="20"/>
  <c r="G37" i="20"/>
  <c r="O92" i="20"/>
  <c r="I92" i="20"/>
  <c r="L46" i="20"/>
  <c r="I46" i="20"/>
  <c r="L44" i="20"/>
  <c r="L43" i="20"/>
  <c r="I43" i="20"/>
  <c r="F43" i="20"/>
  <c r="L42" i="20"/>
  <c r="L39" i="20"/>
  <c r="F39" i="20"/>
  <c r="I38" i="20"/>
  <c r="O36" i="20"/>
  <c r="I36" i="20"/>
  <c r="O35" i="20"/>
  <c r="F35" i="20"/>
  <c r="I34" i="20"/>
  <c r="N32" i="20"/>
  <c r="M32" i="20"/>
  <c r="K32" i="20"/>
  <c r="J32" i="20"/>
  <c r="I29" i="20"/>
  <c r="I28" i="20"/>
  <c r="O27" i="20"/>
  <c r="L27" i="20"/>
  <c r="I27" i="20"/>
  <c r="O25" i="20"/>
  <c r="I25" i="20"/>
  <c r="I22" i="20"/>
  <c r="F20" i="20"/>
  <c r="F98" i="20"/>
  <c r="I19" i="20"/>
  <c r="F18" i="20"/>
  <c r="F17" i="20"/>
  <c r="I16" i="20"/>
  <c r="O15" i="20"/>
  <c r="F15" i="20"/>
  <c r="O14" i="20"/>
  <c r="I14" i="20"/>
  <c r="F13" i="20"/>
  <c r="O12" i="20"/>
  <c r="I12" i="20"/>
  <c r="O11" i="20"/>
  <c r="F11" i="20"/>
  <c r="O10" i="20"/>
  <c r="I10" i="20"/>
  <c r="F9" i="20"/>
  <c r="O8" i="20"/>
  <c r="I8" i="20"/>
  <c r="O7" i="20"/>
  <c r="F7" i="20"/>
  <c r="L92" i="19"/>
  <c r="F92" i="19"/>
  <c r="O46" i="19"/>
  <c r="L46" i="19"/>
  <c r="F44" i="19"/>
  <c r="L43" i="19"/>
  <c r="I43" i="19"/>
  <c r="F43" i="19"/>
  <c r="L42" i="19"/>
  <c r="I42" i="19"/>
  <c r="F42" i="19"/>
  <c r="L41" i="19"/>
  <c r="I41" i="19"/>
  <c r="I39" i="19"/>
  <c r="L38" i="19"/>
  <c r="I38" i="19"/>
  <c r="L36" i="19"/>
  <c r="O35" i="19"/>
  <c r="L35" i="19"/>
  <c r="M32" i="19"/>
  <c r="J32" i="19"/>
  <c r="D32" i="19"/>
  <c r="O33" i="19"/>
  <c r="G32" i="19"/>
  <c r="E32" i="19"/>
  <c r="L29" i="19"/>
  <c r="I29" i="19"/>
  <c r="F29" i="19"/>
  <c r="L28" i="19"/>
  <c r="I28" i="19"/>
  <c r="F28" i="19"/>
  <c r="L27" i="19"/>
  <c r="I27" i="19"/>
  <c r="M30" i="19"/>
  <c r="L26" i="19"/>
  <c r="F26" i="19"/>
  <c r="L25" i="19"/>
  <c r="I25" i="19"/>
  <c r="F25" i="19"/>
  <c r="O22" i="19"/>
  <c r="L22" i="19"/>
  <c r="O19" i="19"/>
  <c r="L19" i="19"/>
  <c r="I19" i="19"/>
  <c r="F19" i="19"/>
  <c r="O18" i="19"/>
  <c r="L18" i="19"/>
  <c r="F18" i="19"/>
  <c r="O17" i="19"/>
  <c r="I17" i="19"/>
  <c r="L16" i="19"/>
  <c r="L15" i="19"/>
  <c r="F15" i="19"/>
  <c r="L14" i="19"/>
  <c r="O13" i="19"/>
  <c r="L13" i="19"/>
  <c r="F13" i="19"/>
  <c r="L12" i="19"/>
  <c r="L11" i="19"/>
  <c r="O10" i="19"/>
  <c r="L10" i="19"/>
  <c r="F10" i="19"/>
  <c r="O9" i="19"/>
  <c r="L9" i="19"/>
  <c r="F9" i="19"/>
  <c r="L8" i="19"/>
  <c r="L7" i="19"/>
  <c r="F7" i="19"/>
  <c r="M4" i="19"/>
  <c r="D37" i="19"/>
  <c r="I92" i="19"/>
  <c r="I46" i="19"/>
  <c r="L44" i="19"/>
  <c r="I44" i="19"/>
  <c r="F41" i="19"/>
  <c r="L39" i="19"/>
  <c r="F39" i="19"/>
  <c r="J37" i="19"/>
  <c r="L34" i="19"/>
  <c r="F33" i="19"/>
  <c r="K32" i="19"/>
  <c r="F27" i="19"/>
  <c r="K30" i="19"/>
  <c r="G30" i="19"/>
  <c r="I22" i="19"/>
  <c r="F17" i="19"/>
  <c r="O16" i="19"/>
  <c r="F16" i="19"/>
  <c r="O15" i="19"/>
  <c r="O14" i="19"/>
  <c r="F14" i="19"/>
  <c r="O12" i="19"/>
  <c r="F12" i="19"/>
  <c r="O11" i="19"/>
  <c r="F11" i="19"/>
  <c r="O8" i="19"/>
  <c r="F8" i="19"/>
  <c r="O7" i="19"/>
  <c r="O6" i="19"/>
  <c r="B1" i="19"/>
  <c r="G37" i="19"/>
  <c r="I92" i="18"/>
  <c r="O46" i="18"/>
  <c r="I46" i="18"/>
  <c r="O44" i="18"/>
  <c r="L44" i="18"/>
  <c r="F44" i="18"/>
  <c r="O43" i="18"/>
  <c r="I43" i="18"/>
  <c r="F43" i="18"/>
  <c r="L42" i="18"/>
  <c r="F42" i="18"/>
  <c r="L41" i="18"/>
  <c r="F41" i="18"/>
  <c r="O39" i="18"/>
  <c r="L39" i="18"/>
  <c r="F39" i="18"/>
  <c r="F38" i="18"/>
  <c r="L36" i="18"/>
  <c r="F36" i="18"/>
  <c r="L35" i="18"/>
  <c r="I35" i="18"/>
  <c r="F35" i="18"/>
  <c r="J32" i="18"/>
  <c r="H32" i="18"/>
  <c r="N32" i="18"/>
  <c r="I33" i="18"/>
  <c r="E32" i="18"/>
  <c r="D32" i="18"/>
  <c r="F32" i="18"/>
  <c r="L29" i="18"/>
  <c r="F29" i="18"/>
  <c r="L28" i="18"/>
  <c r="F28" i="18"/>
  <c r="H30" i="18"/>
  <c r="L26" i="18"/>
  <c r="D30" i="18"/>
  <c r="L25" i="18"/>
  <c r="F25" i="18"/>
  <c r="O22" i="18"/>
  <c r="I22" i="18"/>
  <c r="N98" i="18"/>
  <c r="I20" i="18"/>
  <c r="O19" i="18"/>
  <c r="F19" i="18"/>
  <c r="O18" i="18"/>
  <c r="O17" i="18"/>
  <c r="I17" i="18"/>
  <c r="F17" i="18"/>
  <c r="O16" i="18"/>
  <c r="O15" i="18"/>
  <c r="I15" i="18"/>
  <c r="F15" i="18"/>
  <c r="O14" i="18"/>
  <c r="L14" i="18"/>
  <c r="I14" i="18"/>
  <c r="O13" i="18"/>
  <c r="F13" i="18"/>
  <c r="O12" i="18"/>
  <c r="O11" i="18"/>
  <c r="F11" i="18"/>
  <c r="O10" i="18"/>
  <c r="L10" i="18"/>
  <c r="O9" i="18"/>
  <c r="I9" i="18"/>
  <c r="F9" i="18"/>
  <c r="O8" i="18"/>
  <c r="L8" i="18"/>
  <c r="O7" i="18"/>
  <c r="F7" i="18"/>
  <c r="M4" i="18"/>
  <c r="I44" i="18"/>
  <c r="L43" i="18"/>
  <c r="O42" i="18"/>
  <c r="I42" i="18"/>
  <c r="I39" i="18"/>
  <c r="L38" i="18"/>
  <c r="I38" i="18"/>
  <c r="O36" i="18"/>
  <c r="O34" i="18"/>
  <c r="F34" i="18"/>
  <c r="M32" i="18"/>
  <c r="O28" i="18"/>
  <c r="I28" i="18"/>
  <c r="L27" i="18"/>
  <c r="I27" i="18"/>
  <c r="F27" i="18"/>
  <c r="N30" i="18"/>
  <c r="I26" i="18"/>
  <c r="L22" i="18"/>
  <c r="I19" i="18"/>
  <c r="L18" i="18"/>
  <c r="L16" i="18"/>
  <c r="I13" i="18"/>
  <c r="L12" i="18"/>
  <c r="I11" i="18"/>
  <c r="G37" i="18"/>
  <c r="O92" i="16"/>
  <c r="I92" i="16"/>
  <c r="F92" i="16"/>
  <c r="O46" i="16"/>
  <c r="L46" i="16"/>
  <c r="I46" i="16"/>
  <c r="L43" i="16"/>
  <c r="I43" i="16"/>
  <c r="L42" i="16"/>
  <c r="I42" i="16"/>
  <c r="O41" i="16"/>
  <c r="L41" i="16"/>
  <c r="I41" i="16"/>
  <c r="F41" i="16"/>
  <c r="L38" i="16"/>
  <c r="F38" i="16"/>
  <c r="O36" i="16"/>
  <c r="F36" i="16"/>
  <c r="O35" i="16"/>
  <c r="L35" i="16"/>
  <c r="O34" i="16"/>
  <c r="I34" i="16"/>
  <c r="F34" i="16"/>
  <c r="L29" i="16"/>
  <c r="I29" i="16"/>
  <c r="F29" i="16"/>
  <c r="L28" i="16"/>
  <c r="I28" i="16"/>
  <c r="L27" i="16"/>
  <c r="I27" i="16"/>
  <c r="F27" i="16"/>
  <c r="M30" i="16"/>
  <c r="H30" i="16"/>
  <c r="F26" i="16"/>
  <c r="I25" i="16"/>
  <c r="O22" i="16"/>
  <c r="L22" i="16"/>
  <c r="O19" i="16"/>
  <c r="L19" i="16"/>
  <c r="O18" i="16"/>
  <c r="L18" i="16"/>
  <c r="I18" i="16"/>
  <c r="I17" i="16"/>
  <c r="F17" i="16"/>
  <c r="O16" i="16"/>
  <c r="F16" i="16"/>
  <c r="O15" i="16"/>
  <c r="L15" i="16"/>
  <c r="O14" i="16"/>
  <c r="F14" i="16"/>
  <c r="O13" i="16"/>
  <c r="F13" i="16"/>
  <c r="O12" i="16"/>
  <c r="I12" i="16"/>
  <c r="F12" i="16"/>
  <c r="O11" i="16"/>
  <c r="L11" i="16"/>
  <c r="F10" i="16"/>
  <c r="O9" i="16"/>
  <c r="L9" i="16"/>
  <c r="F9" i="16"/>
  <c r="O8" i="16"/>
  <c r="I8" i="16"/>
  <c r="F8" i="16"/>
  <c r="O7" i="16"/>
  <c r="L7" i="16"/>
  <c r="G4" i="16"/>
  <c r="D37" i="16"/>
  <c r="F37" i="16"/>
  <c r="L92" i="16"/>
  <c r="L44" i="16"/>
  <c r="I44" i="16"/>
  <c r="O43" i="16"/>
  <c r="L39" i="16"/>
  <c r="I39" i="16"/>
  <c r="O38" i="16"/>
  <c r="I38" i="16"/>
  <c r="I36" i="16"/>
  <c r="F35" i="16"/>
  <c r="M32" i="16"/>
  <c r="E32" i="16"/>
  <c r="D31" i="16"/>
  <c r="O29" i="16"/>
  <c r="O27" i="16"/>
  <c r="K30" i="16"/>
  <c r="L26" i="16"/>
  <c r="O25" i="16"/>
  <c r="I22" i="16"/>
  <c r="I19" i="16"/>
  <c r="F19" i="16"/>
  <c r="F18" i="16"/>
  <c r="O17" i="16"/>
  <c r="I16" i="16"/>
  <c r="F15" i="16"/>
  <c r="I14" i="16"/>
  <c r="F11" i="16"/>
  <c r="O10" i="16"/>
  <c r="I10" i="16"/>
  <c r="F7" i="16"/>
  <c r="M23" i="16"/>
  <c r="I6" i="16"/>
  <c r="G37" i="16"/>
  <c r="I37" i="16"/>
  <c r="E140" i="15" a="1"/>
  <c r="D124" i="15" a="1"/>
  <c r="E125" i="15" a="1"/>
  <c r="E135" i="15" a="1"/>
  <c r="D136" i="15" a="1"/>
  <c r="D168" i="15" a="1"/>
  <c r="E130" i="15" a="1"/>
  <c r="G144" i="15" a="1"/>
  <c r="F128" i="15" a="1"/>
  <c r="E181" i="15" a="1"/>
  <c r="F137" i="15" a="1"/>
  <c r="F139" i="15" a="1"/>
  <c r="G125" i="15" a="1"/>
  <c r="D129" i="15" a="1"/>
  <c r="E136" i="15" a="1"/>
  <c r="D127" i="15" a="1"/>
  <c r="D123" i="15" a="1"/>
  <c r="G128" i="15" a="1"/>
  <c r="D126" i="15" a="1"/>
  <c r="G167" i="15" a="1"/>
  <c r="E142" i="15" a="1"/>
  <c r="E172" i="15" a="1"/>
  <c r="D141" i="15" a="1"/>
  <c r="D130" i="15" a="1"/>
  <c r="D164" i="15" a="1"/>
  <c r="F134" i="15" a="1"/>
  <c r="F141" i="15" a="1"/>
  <c r="G132" i="15" a="1"/>
  <c r="F173" i="15" a="1"/>
  <c r="F167" i="15" a="1"/>
  <c r="G126" i="15" a="1"/>
  <c r="E174" i="15" a="1"/>
  <c r="D137" i="15" a="1"/>
  <c r="G181" i="15" a="1"/>
  <c r="G168" i="15" a="1"/>
  <c r="E133" i="15" a="1"/>
  <c r="G179" i="15" a="1"/>
  <c r="D135" i="15" a="1"/>
  <c r="G127" i="15" a="1"/>
  <c r="D181" i="15" a="1"/>
  <c r="E168" i="15" a="1"/>
  <c r="F174" i="15" a="1"/>
  <c r="G145" i="15" a="1"/>
  <c r="E131" i="15" a="1"/>
  <c r="F131" i="15" a="1"/>
  <c r="G134" i="15" a="1"/>
  <c r="G135" i="15" a="1"/>
  <c r="F176" i="15" a="1"/>
  <c r="D128" i="15" a="1"/>
  <c r="E167" i="15" a="1"/>
  <c r="E143" i="15" a="1"/>
  <c r="F163" i="15" a="1"/>
  <c r="D131" i="15" a="1"/>
  <c r="D162" i="15" a="1"/>
  <c r="F144" i="15" a="1"/>
  <c r="D142" i="15" a="1"/>
  <c r="G138" i="15" a="1"/>
  <c r="E139" i="15" a="1"/>
  <c r="F171" i="15" a="1"/>
  <c r="E127" i="15" a="1"/>
  <c r="G180" i="15" a="1"/>
  <c r="F132" i="15" a="1"/>
  <c r="E144" i="15" a="1"/>
  <c r="D145" i="15" a="1"/>
  <c r="G124" i="15" a="1"/>
  <c r="D170" i="15" a="1"/>
  <c r="E145" i="15" a="1"/>
  <c r="F160" i="15" a="1"/>
  <c r="E162" i="15" a="1"/>
  <c r="E138" i="15" a="1"/>
  <c r="F124" i="15" a="1"/>
  <c r="F126" i="15" a="1"/>
  <c r="G165" i="15" a="1"/>
  <c r="G123" i="15" a="1"/>
  <c r="F170" i="15" a="1"/>
  <c r="D174" i="15" a="1"/>
  <c r="D159" i="15" a="1"/>
  <c r="G170" i="15" a="1"/>
  <c r="D172" i="15" a="1"/>
  <c r="D160" i="15" a="1"/>
  <c r="E166" i="15" a="1"/>
  <c r="E129" i="15" a="1"/>
  <c r="G142" i="15" a="1"/>
  <c r="G131" i="15" a="1"/>
  <c r="G175" i="15" a="1"/>
  <c r="G171" i="15" a="1"/>
  <c r="E173" i="15" a="1"/>
  <c r="F133" i="15" a="1"/>
  <c r="F172" i="15" a="1"/>
  <c r="D132" i="15" a="1"/>
  <c r="D144" i="15" a="1"/>
  <c r="G166" i="15" a="1"/>
  <c r="D139" i="15" a="1"/>
  <c r="F166" i="15" a="1"/>
  <c r="D163" i="15" a="1"/>
  <c r="F181" i="15" a="1"/>
  <c r="E126" i="15" a="1"/>
  <c r="F161" i="15" a="1"/>
  <c r="G172" i="15" a="1"/>
  <c r="D177" i="15" a="1"/>
  <c r="D167" i="15" a="1"/>
  <c r="G162" i="15" a="1"/>
  <c r="D178" i="15" a="1"/>
  <c r="G140" i="15" a="1"/>
  <c r="E170" i="15" a="1"/>
  <c r="D138" i="15" a="1"/>
  <c r="E141" i="15" a="1"/>
  <c r="D133" i="15" a="1"/>
  <c r="E175" i="15" a="1"/>
  <c r="F138" i="15" a="1"/>
  <c r="F145" i="15" a="1"/>
  <c r="F178" i="15" a="1"/>
  <c r="E165" i="15" a="1"/>
  <c r="F129" i="15" a="1"/>
  <c r="E177" i="15" a="1"/>
  <c r="G129" i="15" a="1"/>
  <c r="G159" i="15" a="1"/>
  <c r="G141" i="15" a="1"/>
  <c r="G169" i="15" a="1"/>
  <c r="G133" i="15" a="1"/>
  <c r="F130" i="15" a="1"/>
  <c r="D161" i="15" a="1"/>
  <c r="G130" i="15" a="1"/>
  <c r="G161" i="15" a="1"/>
  <c r="D173" i="15" a="1"/>
  <c r="E171" i="15" a="1"/>
  <c r="E161" i="15" a="1"/>
  <c r="F177" i="15" a="1"/>
  <c r="D169" i="15" a="1"/>
  <c r="D125" i="15" a="1"/>
  <c r="E124" i="15" a="1"/>
  <c r="F135" i="15" a="1"/>
  <c r="F125" i="15" a="1"/>
  <c r="E134" i="15" a="1"/>
  <c r="F164" i="15" a="1"/>
  <c r="D180" i="15" a="1"/>
  <c r="D143" i="15" a="1"/>
  <c r="F165" i="15" a="1"/>
  <c r="F162" i="15" a="1"/>
  <c r="F168" i="15" a="1"/>
  <c r="E132" i="15" a="1"/>
  <c r="E164" i="15" a="1"/>
  <c r="D134" i="15" a="1"/>
  <c r="D166" i="15" a="1"/>
  <c r="F127" i="15" a="1"/>
  <c r="G160" i="15" a="1"/>
  <c r="F123" i="15" a="1"/>
  <c r="E137" i="15" a="1"/>
  <c r="E176" i="15" a="1"/>
  <c r="E180" i="15" a="1"/>
  <c r="E179" i="15" a="1"/>
  <c r="F169" i="15" a="1"/>
  <c r="E178" i="15" a="1"/>
  <c r="E160" i="15" a="1"/>
  <c r="F159" i="15" a="1"/>
  <c r="F180" i="15" a="1"/>
  <c r="E128" i="15" a="1"/>
  <c r="D176" i="15" a="1"/>
  <c r="D179" i="15" a="1"/>
  <c r="G173" i="15" a="1"/>
  <c r="F136" i="15" a="1"/>
  <c r="D175" i="15" a="1"/>
  <c r="G136" i="15" a="1"/>
  <c r="G139" i="15" a="1"/>
  <c r="F140" i="15" a="1"/>
  <c r="G177" i="15" a="1"/>
  <c r="G178" i="15" a="1"/>
  <c r="G174" i="15" a="1"/>
  <c r="F175" i="15" a="1"/>
  <c r="F143" i="15" a="1"/>
  <c r="G176" i="15" a="1"/>
  <c r="E169" i="15" a="1"/>
  <c r="G137" i="15" a="1"/>
  <c r="E159" i="15" a="1"/>
  <c r="F179" i="15" a="1"/>
  <c r="E123" i="15" a="1"/>
  <c r="D171" i="15" a="1"/>
  <c r="E163" i="15" a="1"/>
  <c r="G143" i="15" a="1"/>
  <c r="F142" i="15" a="1"/>
  <c r="G163" i="15" a="1"/>
  <c r="D140" i="15" a="1"/>
  <c r="G164" i="15" a="1"/>
  <c r="D165" i="15" a="1"/>
  <c r="N96" i="42"/>
  <c r="N97" i="42"/>
  <c r="O30" i="35"/>
  <c r="F32" i="23"/>
  <c r="G40" i="42"/>
  <c r="I98" i="18"/>
  <c r="L32" i="19"/>
  <c r="F32" i="42"/>
  <c r="I98" i="28"/>
  <c r="F98" i="26"/>
  <c r="F169" i="15"/>
  <c r="E166" i="15"/>
  <c r="G128" i="15"/>
  <c r="G164" i="15"/>
  <c r="D123" i="15"/>
  <c r="E123" i="15"/>
  <c r="E159" i="15"/>
  <c r="F126" i="15"/>
  <c r="F123" i="15"/>
  <c r="D161" i="15"/>
  <c r="E130" i="15"/>
  <c r="E125" i="15"/>
  <c r="G123" i="15"/>
  <c r="G159" i="15"/>
  <c r="D124" i="15"/>
  <c r="E161" i="15"/>
  <c r="F133" i="15"/>
  <c r="D160" i="15"/>
  <c r="E124" i="15"/>
  <c r="F124" i="15"/>
  <c r="E132" i="15"/>
  <c r="D159" i="15"/>
  <c r="D125" i="15"/>
  <c r="F130" i="15"/>
  <c r="F167" i="15"/>
  <c r="F132" i="15"/>
  <c r="F166" i="15"/>
  <c r="F168" i="15"/>
  <c r="D127" i="15"/>
  <c r="F140" i="15"/>
  <c r="D163" i="15"/>
  <c r="D129" i="15"/>
  <c r="F174" i="15"/>
  <c r="F159" i="15"/>
  <c r="E160" i="15"/>
  <c r="F125" i="15"/>
  <c r="E127" i="15"/>
  <c r="D165" i="15"/>
  <c r="F161" i="15"/>
  <c r="D126" i="15"/>
  <c r="E163" i="15"/>
  <c r="E129" i="15"/>
  <c r="D135" i="15"/>
  <c r="G161" i="15"/>
  <c r="G125" i="15"/>
  <c r="D162" i="15"/>
  <c r="F127" i="15"/>
  <c r="E165" i="15"/>
  <c r="D171" i="15"/>
  <c r="E126" i="15"/>
  <c r="F163" i="15"/>
  <c r="F129" i="15"/>
  <c r="E162" i="15"/>
  <c r="G163" i="15"/>
  <c r="G127" i="15"/>
  <c r="D128" i="15"/>
  <c r="F165" i="15"/>
  <c r="D164" i="15"/>
  <c r="G165" i="15"/>
  <c r="G129" i="15"/>
  <c r="F135" i="15"/>
  <c r="G145" i="15"/>
  <c r="G181" i="15"/>
  <c r="F162" i="15"/>
  <c r="E128" i="15"/>
  <c r="D133" i="15"/>
  <c r="G126" i="15"/>
  <c r="G162" i="15"/>
  <c r="E164" i="15"/>
  <c r="D131" i="15"/>
  <c r="D169" i="15"/>
  <c r="D172" i="15"/>
  <c r="F160" i="15"/>
  <c r="F128" i="15"/>
  <c r="D132" i="15"/>
  <c r="G124" i="15"/>
  <c r="G160" i="15"/>
  <c r="F164" i="15"/>
  <c r="D166" i="15"/>
  <c r="E131" i="15"/>
  <c r="D168" i="15"/>
  <c r="F134" i="15"/>
  <c r="G168" i="15"/>
  <c r="G132" i="15"/>
  <c r="G133" i="15"/>
  <c r="G169" i="15"/>
  <c r="E135" i="15"/>
  <c r="E139" i="15"/>
  <c r="E171" i="15"/>
  <c r="D136" i="15"/>
  <c r="F139" i="15"/>
  <c r="F171" i="15"/>
  <c r="E136" i="15"/>
  <c r="D167" i="15"/>
  <c r="G135" i="15"/>
  <c r="G171" i="15"/>
  <c r="E172" i="15"/>
  <c r="G175" i="15"/>
  <c r="G139" i="15"/>
  <c r="D141" i="15"/>
  <c r="D170" i="15"/>
  <c r="F136" i="15"/>
  <c r="E142" i="15"/>
  <c r="E167" i="15"/>
  <c r="F172" i="15"/>
  <c r="D130" i="15"/>
  <c r="F131" i="15"/>
  <c r="D134" i="15"/>
  <c r="E170" i="15"/>
  <c r="G136" i="15"/>
  <c r="G172" i="15"/>
  <c r="D173" i="15"/>
  <c r="F141" i="15"/>
  <c r="G131" i="15"/>
  <c r="G167" i="15"/>
  <c r="E134" i="15"/>
  <c r="F170" i="15"/>
  <c r="D138" i="15"/>
  <c r="E173" i="15"/>
  <c r="D174" i="15"/>
  <c r="F137" i="15"/>
  <c r="E138" i="15"/>
  <c r="E133" i="15"/>
  <c r="G134" i="15"/>
  <c r="G170" i="15"/>
  <c r="F173" i="15"/>
  <c r="E174" i="15"/>
  <c r="D176" i="15"/>
  <c r="G130" i="15"/>
  <c r="G166" i="15"/>
  <c r="E168" i="15"/>
  <c r="E169" i="15"/>
  <c r="G173" i="15"/>
  <c r="G137" i="15"/>
  <c r="F138" i="15"/>
  <c r="D144" i="15"/>
  <c r="D177" i="15"/>
  <c r="G143" i="15"/>
  <c r="G179" i="15"/>
  <c r="D180" i="15"/>
  <c r="G174" i="15"/>
  <c r="G138" i="15"/>
  <c r="E141" i="15"/>
  <c r="D142" i="15"/>
  <c r="D140" i="15"/>
  <c r="E177" i="15"/>
  <c r="D178" i="15"/>
  <c r="F144" i="15"/>
  <c r="D139" i="15"/>
  <c r="E140" i="15"/>
  <c r="F177" i="15"/>
  <c r="E178" i="15"/>
  <c r="F180" i="15"/>
  <c r="D137" i="15"/>
  <c r="D175" i="15"/>
  <c r="E176" i="15"/>
  <c r="G177" i="15"/>
  <c r="G141" i="15"/>
  <c r="F142" i="15"/>
  <c r="F178" i="15"/>
  <c r="E137" i="15"/>
  <c r="E175" i="15"/>
  <c r="F176" i="15"/>
  <c r="G178" i="15"/>
  <c r="G142" i="15"/>
  <c r="G176" i="15"/>
  <c r="G140" i="15"/>
  <c r="F175" i="15"/>
  <c r="D143" i="15"/>
  <c r="D179" i="15"/>
  <c r="E143" i="15"/>
  <c r="F145" i="15"/>
  <c r="E179" i="15"/>
  <c r="F181" i="15"/>
  <c r="G144" i="15"/>
  <c r="G180" i="15"/>
  <c r="D145" i="15"/>
  <c r="D181" i="15"/>
  <c r="E145" i="15"/>
  <c r="E181" i="15"/>
  <c r="F143" i="15"/>
  <c r="E144" i="15"/>
  <c r="F179" i="15"/>
  <c r="E180" i="15"/>
  <c r="E30" i="27"/>
  <c r="I7" i="19"/>
  <c r="M23" i="27"/>
  <c r="K98" i="27"/>
  <c r="M32" i="27"/>
  <c r="O34" i="27"/>
  <c r="J23" i="24"/>
  <c r="H98" i="24"/>
  <c r="E40" i="18"/>
  <c r="I33" i="19"/>
  <c r="I35" i="19"/>
  <c r="O20" i="22"/>
  <c r="M98" i="22"/>
  <c r="M23" i="22"/>
  <c r="H30" i="22"/>
  <c r="I26" i="22"/>
  <c r="I7" i="18"/>
  <c r="F33" i="22"/>
  <c r="D32" i="22"/>
  <c r="F32" i="22"/>
  <c r="D98" i="16"/>
  <c r="F20" i="16"/>
  <c r="O20" i="18"/>
  <c r="O98" i="18"/>
  <c r="K32" i="18"/>
  <c r="K40" i="18"/>
  <c r="O26" i="16"/>
  <c r="G98" i="16"/>
  <c r="F6" i="19"/>
  <c r="L98" i="23"/>
  <c r="O6" i="18"/>
  <c r="O44" i="19"/>
  <c r="J23" i="16"/>
  <c r="L8" i="16"/>
  <c r="L10" i="16"/>
  <c r="L12" i="16"/>
  <c r="L14" i="16"/>
  <c r="L16" i="16"/>
  <c r="I20" i="16"/>
  <c r="I98" i="16"/>
  <c r="H98" i="16"/>
  <c r="D30" i="16"/>
  <c r="F28" i="16"/>
  <c r="L34" i="16"/>
  <c r="L36" i="16"/>
  <c r="F39" i="16"/>
  <c r="F42" i="16"/>
  <c r="F44" i="16"/>
  <c r="K40" i="19"/>
  <c r="K96" i="19"/>
  <c r="K97" i="19"/>
  <c r="J98" i="20"/>
  <c r="L20" i="20"/>
  <c r="L98" i="20"/>
  <c r="F26" i="20"/>
  <c r="E30" i="20"/>
  <c r="I33" i="22"/>
  <c r="G32" i="22"/>
  <c r="L20" i="16"/>
  <c r="L98" i="16"/>
  <c r="J98" i="16"/>
  <c r="E30" i="16"/>
  <c r="G23" i="19"/>
  <c r="E98" i="19"/>
  <c r="I9" i="19"/>
  <c r="O39" i="19"/>
  <c r="I20" i="24"/>
  <c r="I98" i="24"/>
  <c r="G98" i="24"/>
  <c r="D23" i="16"/>
  <c r="I37" i="18"/>
  <c r="F6" i="16"/>
  <c r="I8" i="19"/>
  <c r="I10" i="19"/>
  <c r="I12" i="19"/>
  <c r="I14" i="19"/>
  <c r="I16" i="19"/>
  <c r="I18" i="19"/>
  <c r="I20" i="19"/>
  <c r="I98" i="19"/>
  <c r="G98" i="19"/>
  <c r="O27" i="19"/>
  <c r="O29" i="19"/>
  <c r="I34" i="19"/>
  <c r="I36" i="19"/>
  <c r="O41" i="19"/>
  <c r="O43" i="19"/>
  <c r="O92" i="19"/>
  <c r="O20" i="16"/>
  <c r="M98" i="16"/>
  <c r="F18" i="18"/>
  <c r="F20" i="18"/>
  <c r="F98" i="18"/>
  <c r="D98" i="18"/>
  <c r="O25" i="18"/>
  <c r="M30" i="18"/>
  <c r="O30" i="18"/>
  <c r="O27" i="18"/>
  <c r="O29" i="18"/>
  <c r="I34" i="18"/>
  <c r="I36" i="18"/>
  <c r="O41" i="18"/>
  <c r="L6" i="19"/>
  <c r="H98" i="19"/>
  <c r="L20" i="27"/>
  <c r="L98" i="27"/>
  <c r="J98" i="27"/>
  <c r="G23" i="18"/>
  <c r="I8" i="18"/>
  <c r="I10" i="18"/>
  <c r="I12" i="18"/>
  <c r="I16" i="18"/>
  <c r="E98" i="18"/>
  <c r="H40" i="18"/>
  <c r="H96" i="18"/>
  <c r="H97" i="18"/>
  <c r="O92" i="18"/>
  <c r="D31" i="21"/>
  <c r="F31" i="21"/>
  <c r="G37" i="21"/>
  <c r="I37" i="21"/>
  <c r="I27" i="21"/>
  <c r="G30" i="21"/>
  <c r="I15" i="19"/>
  <c r="G98" i="18"/>
  <c r="I33" i="20"/>
  <c r="G32" i="20"/>
  <c r="L7" i="23"/>
  <c r="J23" i="23"/>
  <c r="L11" i="23"/>
  <c r="O28" i="19"/>
  <c r="O26" i="20"/>
  <c r="N30" i="20"/>
  <c r="I35" i="20"/>
  <c r="O39" i="20"/>
  <c r="O44" i="20"/>
  <c r="F6" i="21"/>
  <c r="D23" i="21"/>
  <c r="K32" i="27"/>
  <c r="K40" i="27"/>
  <c r="L34" i="27"/>
  <c r="I11" i="19"/>
  <c r="N30" i="19"/>
  <c r="F26" i="18"/>
  <c r="I7" i="16"/>
  <c r="I9" i="16"/>
  <c r="I11" i="16"/>
  <c r="I13" i="16"/>
  <c r="I15" i="16"/>
  <c r="G23" i="16"/>
  <c r="N30" i="16"/>
  <c r="O28" i="16"/>
  <c r="I33" i="16"/>
  <c r="I35" i="16"/>
  <c r="O39" i="16"/>
  <c r="O42" i="16"/>
  <c r="O44" i="16"/>
  <c r="E40" i="22"/>
  <c r="O41" i="26"/>
  <c r="I13" i="19"/>
  <c r="O42" i="19"/>
  <c r="I18" i="18"/>
  <c r="L20" i="18"/>
  <c r="L98" i="18"/>
  <c r="J98" i="18"/>
  <c r="L34" i="18"/>
  <c r="I11" i="20"/>
  <c r="I15" i="20"/>
  <c r="H32" i="20"/>
  <c r="H40" i="20"/>
  <c r="O42" i="20"/>
  <c r="L13" i="16"/>
  <c r="F25" i="16"/>
  <c r="L33" i="16"/>
  <c r="F43" i="16"/>
  <c r="J23" i="19"/>
  <c r="F20" i="19"/>
  <c r="F98" i="19"/>
  <c r="E40" i="19"/>
  <c r="G23" i="22"/>
  <c r="I20" i="26"/>
  <c r="G98" i="26"/>
  <c r="O27" i="26"/>
  <c r="N30" i="26"/>
  <c r="N40" i="26"/>
  <c r="E98" i="16"/>
  <c r="D98" i="19"/>
  <c r="O7" i="21"/>
  <c r="O9" i="21"/>
  <c r="O11" i="21"/>
  <c r="O13" i="21"/>
  <c r="O15" i="21"/>
  <c r="O19" i="21"/>
  <c r="O35" i="21"/>
  <c r="I38" i="21"/>
  <c r="I41" i="21"/>
  <c r="I43" i="21"/>
  <c r="L46" i="21"/>
  <c r="F34" i="22"/>
  <c r="L18" i="24"/>
  <c r="L20" i="24"/>
  <c r="L98" i="24"/>
  <c r="J98" i="24"/>
  <c r="E30" i="24"/>
  <c r="F28" i="24"/>
  <c r="K32" i="24"/>
  <c r="K40" i="24"/>
  <c r="K96" i="24"/>
  <c r="K97" i="24"/>
  <c r="F39" i="24"/>
  <c r="F44" i="24"/>
  <c r="F98" i="24"/>
  <c r="G37" i="25"/>
  <c r="I37" i="25"/>
  <c r="M23" i="25"/>
  <c r="K98" i="25"/>
  <c r="G23" i="26"/>
  <c r="L18" i="26"/>
  <c r="J23" i="26"/>
  <c r="J98" i="26"/>
  <c r="O14" i="28"/>
  <c r="O28" i="28"/>
  <c r="I43" i="28"/>
  <c r="L46" i="28"/>
  <c r="K98" i="24"/>
  <c r="K98" i="26"/>
  <c r="F98" i="27"/>
  <c r="F9" i="27"/>
  <c r="F15" i="27"/>
  <c r="L19" i="29"/>
  <c r="D98" i="21"/>
  <c r="I7" i="22"/>
  <c r="I9" i="22"/>
  <c r="I11" i="22"/>
  <c r="I13" i="22"/>
  <c r="I15" i="22"/>
  <c r="O28" i="22"/>
  <c r="O39" i="22"/>
  <c r="O42" i="22"/>
  <c r="O44" i="22"/>
  <c r="E40" i="23"/>
  <c r="F6" i="23"/>
  <c r="O20" i="25"/>
  <c r="O98" i="25"/>
  <c r="N98" i="25"/>
  <c r="L6" i="34"/>
  <c r="J23" i="34"/>
  <c r="J98" i="34"/>
  <c r="E98" i="21"/>
  <c r="J32" i="22"/>
  <c r="L32" i="22"/>
  <c r="H40" i="23"/>
  <c r="E96" i="23"/>
  <c r="E97" i="23"/>
  <c r="D98" i="23"/>
  <c r="O20" i="24"/>
  <c r="O98" i="24"/>
  <c r="N98" i="24"/>
  <c r="D32" i="24"/>
  <c r="F32" i="24"/>
  <c r="K30" i="25"/>
  <c r="E32" i="25"/>
  <c r="E40" i="25"/>
  <c r="N98" i="26"/>
  <c r="O20" i="26"/>
  <c r="O98" i="26"/>
  <c r="M30" i="27"/>
  <c r="M30" i="30"/>
  <c r="K98" i="32"/>
  <c r="K98" i="16"/>
  <c r="H98" i="18"/>
  <c r="L7" i="18"/>
  <c r="L9" i="18"/>
  <c r="L11" i="18"/>
  <c r="L13" i="18"/>
  <c r="L15" i="18"/>
  <c r="L19" i="18"/>
  <c r="I25" i="18"/>
  <c r="I29" i="18"/>
  <c r="O35" i="18"/>
  <c r="I41" i="18"/>
  <c r="L46" i="18"/>
  <c r="F92" i="18"/>
  <c r="L20" i="19"/>
  <c r="L98" i="19"/>
  <c r="J98" i="19"/>
  <c r="D23" i="20"/>
  <c r="F8" i="20"/>
  <c r="F10" i="20"/>
  <c r="F12" i="20"/>
  <c r="F14" i="20"/>
  <c r="F16" i="20"/>
  <c r="L25" i="20"/>
  <c r="F34" i="20"/>
  <c r="L38" i="20"/>
  <c r="L41" i="20"/>
  <c r="O46" i="20"/>
  <c r="I8" i="21"/>
  <c r="I12" i="21"/>
  <c r="I16" i="21"/>
  <c r="I18" i="21"/>
  <c r="I20" i="21"/>
  <c r="I98" i="21"/>
  <c r="G98" i="21"/>
  <c r="O27" i="21"/>
  <c r="O29" i="21"/>
  <c r="I36" i="21"/>
  <c r="O41" i="21"/>
  <c r="O43" i="21"/>
  <c r="O92" i="21"/>
  <c r="F18" i="23"/>
  <c r="F20" i="23"/>
  <c r="F98" i="23"/>
  <c r="E98" i="23"/>
  <c r="O27" i="23"/>
  <c r="O29" i="23"/>
  <c r="L92" i="23"/>
  <c r="E40" i="24"/>
  <c r="I26" i="26"/>
  <c r="K30" i="26"/>
  <c r="K98" i="19"/>
  <c r="D98" i="20"/>
  <c r="E40" i="20"/>
  <c r="J23" i="21"/>
  <c r="H98" i="21"/>
  <c r="O33" i="23"/>
  <c r="G98" i="23"/>
  <c r="O33" i="25"/>
  <c r="O26" i="26"/>
  <c r="M30" i="26"/>
  <c r="F6" i="29"/>
  <c r="D98" i="29"/>
  <c r="N98" i="16"/>
  <c r="D32" i="16"/>
  <c r="F32" i="16"/>
  <c r="O20" i="19"/>
  <c r="M98" i="19"/>
  <c r="H30" i="19"/>
  <c r="O36" i="19"/>
  <c r="E98" i="20"/>
  <c r="L20" i="21"/>
  <c r="L98" i="21"/>
  <c r="J98" i="21"/>
  <c r="G37" i="22"/>
  <c r="O7" i="22"/>
  <c r="O11" i="22"/>
  <c r="O15" i="22"/>
  <c r="O19" i="22"/>
  <c r="I27" i="22"/>
  <c r="N32" i="22"/>
  <c r="O35" i="22"/>
  <c r="H98" i="23"/>
  <c r="L35" i="25"/>
  <c r="F43" i="25"/>
  <c r="G23" i="29"/>
  <c r="H21" i="29"/>
  <c r="F18" i="29"/>
  <c r="F20" i="29"/>
  <c r="F98" i="29"/>
  <c r="E98" i="29"/>
  <c r="D23" i="18"/>
  <c r="F8" i="18"/>
  <c r="F10" i="18"/>
  <c r="F12" i="18"/>
  <c r="F14" i="18"/>
  <c r="F16" i="18"/>
  <c r="K30" i="18"/>
  <c r="K96" i="18"/>
  <c r="K97" i="18"/>
  <c r="L92" i="18"/>
  <c r="N98" i="19"/>
  <c r="J30" i="19"/>
  <c r="L30" i="19"/>
  <c r="F35" i="19"/>
  <c r="H96" i="20"/>
  <c r="H97" i="20"/>
  <c r="I18" i="20"/>
  <c r="I20" i="20"/>
  <c r="G98" i="20"/>
  <c r="K98" i="21"/>
  <c r="F6" i="22"/>
  <c r="F8" i="22"/>
  <c r="F10" i="22"/>
  <c r="F12" i="22"/>
  <c r="F14" i="22"/>
  <c r="F16" i="22"/>
  <c r="L27" i="22"/>
  <c r="L29" i="22"/>
  <c r="L38" i="22"/>
  <c r="L41" i="22"/>
  <c r="L43" i="22"/>
  <c r="O46" i="22"/>
  <c r="H30" i="23"/>
  <c r="H96" i="23"/>
  <c r="H97" i="23"/>
  <c r="L6" i="23"/>
  <c r="J98" i="23"/>
  <c r="K32" i="23"/>
  <c r="L7" i="24"/>
  <c r="L13" i="24"/>
  <c r="L19" i="25"/>
  <c r="M23" i="30"/>
  <c r="I27" i="30"/>
  <c r="O35" i="30"/>
  <c r="I38" i="30"/>
  <c r="I41" i="30"/>
  <c r="I43" i="30"/>
  <c r="L46" i="30"/>
  <c r="L32" i="20"/>
  <c r="H98" i="20"/>
  <c r="O18" i="21"/>
  <c r="O20" i="21"/>
  <c r="M98" i="21"/>
  <c r="D98" i="22"/>
  <c r="K98" i="23"/>
  <c r="L19" i="24"/>
  <c r="J37" i="25"/>
  <c r="L37" i="25"/>
  <c r="D37" i="25"/>
  <c r="L28" i="29"/>
  <c r="F35" i="29"/>
  <c r="L44" i="29"/>
  <c r="F7" i="31"/>
  <c r="F9" i="31"/>
  <c r="F13" i="31"/>
  <c r="F15" i="31"/>
  <c r="L26" i="31"/>
  <c r="L28" i="31"/>
  <c r="F35" i="31"/>
  <c r="L39" i="31"/>
  <c r="L42" i="31"/>
  <c r="D32" i="21"/>
  <c r="F32" i="21"/>
  <c r="E98" i="22"/>
  <c r="N96" i="23"/>
  <c r="N97" i="23"/>
  <c r="O20" i="23"/>
  <c r="M98" i="23"/>
  <c r="D37" i="24"/>
  <c r="B1" i="24"/>
  <c r="L20" i="29"/>
  <c r="J98" i="29"/>
  <c r="K98" i="20"/>
  <c r="E40" i="21"/>
  <c r="E96" i="21"/>
  <c r="E97" i="21"/>
  <c r="I8" i="22"/>
  <c r="I12" i="22"/>
  <c r="I16" i="22"/>
  <c r="I20" i="22"/>
  <c r="I98" i="22"/>
  <c r="G98" i="22"/>
  <c r="O25" i="22"/>
  <c r="O27" i="22"/>
  <c r="O29" i="22"/>
  <c r="I34" i="22"/>
  <c r="I36" i="22"/>
  <c r="N40" i="22"/>
  <c r="N96" i="22"/>
  <c r="N97" i="22"/>
  <c r="O41" i="22"/>
  <c r="O43" i="22"/>
  <c r="O30" i="23"/>
  <c r="F6" i="25"/>
  <c r="I92" i="25"/>
  <c r="F6" i="27"/>
  <c r="F18" i="27"/>
  <c r="D98" i="27"/>
  <c r="L92" i="27"/>
  <c r="O20" i="20"/>
  <c r="O98" i="20"/>
  <c r="M98" i="20"/>
  <c r="I39" i="20"/>
  <c r="I42" i="20"/>
  <c r="I44" i="20"/>
  <c r="J23" i="22"/>
  <c r="H98" i="22"/>
  <c r="F20" i="25"/>
  <c r="D98" i="25"/>
  <c r="L29" i="25"/>
  <c r="E98" i="27"/>
  <c r="G23" i="30"/>
  <c r="E98" i="30"/>
  <c r="K98" i="18"/>
  <c r="N98" i="20"/>
  <c r="I7" i="21"/>
  <c r="I9" i="21"/>
  <c r="I11" i="21"/>
  <c r="I13" i="21"/>
  <c r="I15" i="21"/>
  <c r="H40" i="21"/>
  <c r="H96" i="21"/>
  <c r="H97" i="21"/>
  <c r="I35" i="21"/>
  <c r="O39" i="21"/>
  <c r="O42" i="21"/>
  <c r="O44" i="21"/>
  <c r="L20" i="22"/>
  <c r="L98" i="22"/>
  <c r="J98" i="22"/>
  <c r="G37" i="23"/>
  <c r="I33" i="23"/>
  <c r="I35" i="23"/>
  <c r="O39" i="23"/>
  <c r="O42" i="23"/>
  <c r="O44" i="23"/>
  <c r="O33" i="24"/>
  <c r="I14" i="25"/>
  <c r="O25" i="25"/>
  <c r="O29" i="25"/>
  <c r="O33" i="26"/>
  <c r="D98" i="26"/>
  <c r="N32" i="16"/>
  <c r="O32" i="16"/>
  <c r="M98" i="18"/>
  <c r="F20" i="21"/>
  <c r="F98" i="21"/>
  <c r="L7" i="21"/>
  <c r="L9" i="21"/>
  <c r="L11" i="21"/>
  <c r="L13" i="21"/>
  <c r="L15" i="21"/>
  <c r="F25" i="21"/>
  <c r="F27" i="21"/>
  <c r="F29" i="21"/>
  <c r="L33" i="21"/>
  <c r="L35" i="21"/>
  <c r="F20" i="22"/>
  <c r="F98" i="22"/>
  <c r="K98" i="22"/>
  <c r="I19" i="23"/>
  <c r="M23" i="24"/>
  <c r="E98" i="24"/>
  <c r="J30" i="25"/>
  <c r="I20" i="25"/>
  <c r="I98" i="25"/>
  <c r="G98" i="25"/>
  <c r="I14" i="26"/>
  <c r="E98" i="26"/>
  <c r="L16" i="28"/>
  <c r="L20" i="28"/>
  <c r="L98" i="28"/>
  <c r="J98" i="28"/>
  <c r="O42" i="28"/>
  <c r="N96" i="26"/>
  <c r="N97" i="26"/>
  <c r="O8" i="26"/>
  <c r="O10" i="26"/>
  <c r="O12" i="26"/>
  <c r="O14" i="26"/>
  <c r="O16" i="26"/>
  <c r="M98" i="26"/>
  <c r="H30" i="26"/>
  <c r="O34" i="26"/>
  <c r="O36" i="26"/>
  <c r="I39" i="26"/>
  <c r="I42" i="26"/>
  <c r="I44" i="26"/>
  <c r="O18" i="27"/>
  <c r="O20" i="27"/>
  <c r="O98" i="27"/>
  <c r="M98" i="27"/>
  <c r="H30" i="27"/>
  <c r="O36" i="27"/>
  <c r="I42" i="27"/>
  <c r="L8" i="28"/>
  <c r="L10" i="28"/>
  <c r="L12" i="28"/>
  <c r="L43" i="28"/>
  <c r="G98" i="29"/>
  <c r="I26" i="29"/>
  <c r="I28" i="29"/>
  <c r="I39" i="29"/>
  <c r="I42" i="29"/>
  <c r="I44" i="29"/>
  <c r="D23" i="30"/>
  <c r="I7" i="31"/>
  <c r="I11" i="31"/>
  <c r="I15" i="31"/>
  <c r="M30" i="31"/>
  <c r="O30" i="31"/>
  <c r="O28" i="31"/>
  <c r="I33" i="31"/>
  <c r="O39" i="31"/>
  <c r="O42" i="31"/>
  <c r="O44" i="31"/>
  <c r="O98" i="31"/>
  <c r="F7" i="32"/>
  <c r="F9" i="32"/>
  <c r="F11" i="32"/>
  <c r="F15" i="32"/>
  <c r="L26" i="32"/>
  <c r="L42" i="32"/>
  <c r="I20" i="33"/>
  <c r="I98" i="33"/>
  <c r="G98" i="33"/>
  <c r="O33" i="36"/>
  <c r="M32" i="36"/>
  <c r="L28" i="26"/>
  <c r="F33" i="26"/>
  <c r="F35" i="26"/>
  <c r="L42" i="26"/>
  <c r="L26" i="27"/>
  <c r="F33" i="27"/>
  <c r="F35" i="27"/>
  <c r="L42" i="27"/>
  <c r="M23" i="28"/>
  <c r="O8" i="28"/>
  <c r="O10" i="28"/>
  <c r="O12" i="28"/>
  <c r="L8" i="29"/>
  <c r="L12" i="29"/>
  <c r="L16" i="29"/>
  <c r="H98" i="29"/>
  <c r="L26" i="29"/>
  <c r="L42" i="29"/>
  <c r="F18" i="30"/>
  <c r="F20" i="30"/>
  <c r="F98" i="30"/>
  <c r="D98" i="30"/>
  <c r="I19" i="31"/>
  <c r="E40" i="32"/>
  <c r="E96" i="32"/>
  <c r="E97" i="32"/>
  <c r="O9" i="35"/>
  <c r="O11" i="35"/>
  <c r="O13" i="35"/>
  <c r="L20" i="33"/>
  <c r="L98" i="33"/>
  <c r="J98" i="33"/>
  <c r="O19" i="35"/>
  <c r="I25" i="28"/>
  <c r="O33" i="28"/>
  <c r="O35" i="28"/>
  <c r="K98" i="29"/>
  <c r="G32" i="29"/>
  <c r="G98" i="30"/>
  <c r="D23" i="35"/>
  <c r="F6" i="35"/>
  <c r="E98" i="25"/>
  <c r="D32" i="26"/>
  <c r="F32" i="26"/>
  <c r="I19" i="26"/>
  <c r="H32" i="26"/>
  <c r="H40" i="26"/>
  <c r="N30" i="27"/>
  <c r="N40" i="27"/>
  <c r="N96" i="27"/>
  <c r="N97" i="27"/>
  <c r="L27" i="28"/>
  <c r="F36" i="28"/>
  <c r="F39" i="28"/>
  <c r="F44" i="28"/>
  <c r="F98" i="28"/>
  <c r="O92" i="28"/>
  <c r="I20" i="29"/>
  <c r="F33" i="29"/>
  <c r="N96" i="29"/>
  <c r="N97" i="29"/>
  <c r="O20" i="29"/>
  <c r="O98" i="29"/>
  <c r="M98" i="29"/>
  <c r="H98" i="30"/>
  <c r="J32" i="30"/>
  <c r="O11" i="31"/>
  <c r="O13" i="31"/>
  <c r="I25" i="31"/>
  <c r="M32" i="31"/>
  <c r="O32" i="31"/>
  <c r="O18" i="33"/>
  <c r="O20" i="33"/>
  <c r="M98" i="33"/>
  <c r="O28" i="34"/>
  <c r="O42" i="34"/>
  <c r="D98" i="35"/>
  <c r="F20" i="35"/>
  <c r="F98" i="35"/>
  <c r="O98" i="28"/>
  <c r="N32" i="28"/>
  <c r="N40" i="28"/>
  <c r="N96" i="28"/>
  <c r="N97" i="28"/>
  <c r="E98" i="28"/>
  <c r="I33" i="29"/>
  <c r="L20" i="30"/>
  <c r="L98" i="30"/>
  <c r="J98" i="30"/>
  <c r="H40" i="30"/>
  <c r="H96" i="30"/>
  <c r="H97" i="30"/>
  <c r="O20" i="32"/>
  <c r="O98" i="32"/>
  <c r="N98" i="33"/>
  <c r="G98" i="36"/>
  <c r="I20" i="36"/>
  <c r="H98" i="25"/>
  <c r="J32" i="25"/>
  <c r="I7" i="28"/>
  <c r="I11" i="28"/>
  <c r="M30" i="28"/>
  <c r="O30" i="28"/>
  <c r="G32" i="28"/>
  <c r="O33" i="29"/>
  <c r="F9" i="29"/>
  <c r="F13" i="29"/>
  <c r="K98" i="30"/>
  <c r="D23" i="31"/>
  <c r="M32" i="32"/>
  <c r="E40" i="33"/>
  <c r="E96" i="24"/>
  <c r="E97" i="24"/>
  <c r="D98" i="24"/>
  <c r="L8" i="25"/>
  <c r="L10" i="25"/>
  <c r="L12" i="25"/>
  <c r="L14" i="25"/>
  <c r="L16" i="25"/>
  <c r="L20" i="25"/>
  <c r="L98" i="25"/>
  <c r="J98" i="25"/>
  <c r="E30" i="25"/>
  <c r="E96" i="25"/>
  <c r="E97" i="25"/>
  <c r="F28" i="25"/>
  <c r="L34" i="25"/>
  <c r="F39" i="25"/>
  <c r="F44" i="25"/>
  <c r="D98" i="28"/>
  <c r="H98" i="28"/>
  <c r="I7" i="29"/>
  <c r="I9" i="29"/>
  <c r="I11" i="29"/>
  <c r="I13" i="29"/>
  <c r="I15" i="29"/>
  <c r="M98" i="30"/>
  <c r="I28" i="30"/>
  <c r="O36" i="30"/>
  <c r="I39" i="30"/>
  <c r="I42" i="30"/>
  <c r="I44" i="30"/>
  <c r="I98" i="30"/>
  <c r="I7" i="33"/>
  <c r="I9" i="33"/>
  <c r="I13" i="33"/>
  <c r="I15" i="33"/>
  <c r="O28" i="33"/>
  <c r="I33" i="33"/>
  <c r="I35" i="33"/>
  <c r="O39" i="33"/>
  <c r="O42" i="33"/>
  <c r="O44" i="33"/>
  <c r="N98" i="30"/>
  <c r="E98" i="31"/>
  <c r="H40" i="33"/>
  <c r="H96" i="33"/>
  <c r="H97" i="33"/>
  <c r="D37" i="34"/>
  <c r="J37" i="34"/>
  <c r="J23" i="35"/>
  <c r="J98" i="35"/>
  <c r="O92" i="24"/>
  <c r="M98" i="25"/>
  <c r="F6" i="26"/>
  <c r="F8" i="26"/>
  <c r="F10" i="26"/>
  <c r="F12" i="26"/>
  <c r="F14" i="26"/>
  <c r="F16" i="26"/>
  <c r="L25" i="26"/>
  <c r="L27" i="26"/>
  <c r="F34" i="26"/>
  <c r="L38" i="26"/>
  <c r="L41" i="26"/>
  <c r="L43" i="26"/>
  <c r="O46" i="26"/>
  <c r="F8" i="27"/>
  <c r="F12" i="27"/>
  <c r="F16" i="27"/>
  <c r="F34" i="27"/>
  <c r="L38" i="27"/>
  <c r="L41" i="27"/>
  <c r="L43" i="27"/>
  <c r="O46" i="27"/>
  <c r="G98" i="28"/>
  <c r="E30" i="28"/>
  <c r="K32" i="28"/>
  <c r="L36" i="28"/>
  <c r="K98" i="28"/>
  <c r="M23" i="29"/>
  <c r="L29" i="29"/>
  <c r="L38" i="29"/>
  <c r="L43" i="29"/>
  <c r="K30" i="30"/>
  <c r="E32" i="30"/>
  <c r="E40" i="30"/>
  <c r="F18" i="32"/>
  <c r="D98" i="32"/>
  <c r="L7" i="33"/>
  <c r="L15" i="33"/>
  <c r="F27" i="33"/>
  <c r="F43" i="33"/>
  <c r="O28" i="30"/>
  <c r="G32" i="30"/>
  <c r="O39" i="30"/>
  <c r="O42" i="30"/>
  <c r="O44" i="30"/>
  <c r="O98" i="30"/>
  <c r="H98" i="31"/>
  <c r="L36" i="31"/>
  <c r="E98" i="32"/>
  <c r="O29" i="32"/>
  <c r="I36" i="32"/>
  <c r="L20" i="31"/>
  <c r="L98" i="31"/>
  <c r="J98" i="31"/>
  <c r="I20" i="32"/>
  <c r="I98" i="32"/>
  <c r="G98" i="32"/>
  <c r="N98" i="35"/>
  <c r="O20" i="35"/>
  <c r="O98" i="35"/>
  <c r="G23" i="37"/>
  <c r="I8" i="27"/>
  <c r="I10" i="27"/>
  <c r="I12" i="27"/>
  <c r="I14" i="27"/>
  <c r="I16" i="27"/>
  <c r="I20" i="27"/>
  <c r="I98" i="27"/>
  <c r="G98" i="27"/>
  <c r="O25" i="27"/>
  <c r="O27" i="27"/>
  <c r="O29" i="27"/>
  <c r="I34" i="27"/>
  <c r="I36" i="27"/>
  <c r="O41" i="27"/>
  <c r="O43" i="27"/>
  <c r="M98" i="28"/>
  <c r="O7" i="29"/>
  <c r="O9" i="29"/>
  <c r="O11" i="29"/>
  <c r="O13" i="29"/>
  <c r="O15" i="29"/>
  <c r="M23" i="31"/>
  <c r="K98" i="31"/>
  <c r="D23" i="32"/>
  <c r="H98" i="32"/>
  <c r="M23" i="33"/>
  <c r="G23" i="34"/>
  <c r="F20" i="34"/>
  <c r="F98" i="34"/>
  <c r="E98" i="34"/>
  <c r="F6" i="38"/>
  <c r="D23" i="38"/>
  <c r="M98" i="24"/>
  <c r="H98" i="26"/>
  <c r="F26" i="26"/>
  <c r="J32" i="26"/>
  <c r="L36" i="26"/>
  <c r="J23" i="27"/>
  <c r="L8" i="27"/>
  <c r="L10" i="27"/>
  <c r="L12" i="27"/>
  <c r="L14" i="27"/>
  <c r="L16" i="27"/>
  <c r="H98" i="27"/>
  <c r="F26" i="27"/>
  <c r="F28" i="27"/>
  <c r="J32" i="27"/>
  <c r="L36" i="27"/>
  <c r="I8" i="28"/>
  <c r="I12" i="28"/>
  <c r="L14" i="28"/>
  <c r="K30" i="28"/>
  <c r="E32" i="28"/>
  <c r="E40" i="28"/>
  <c r="D23" i="29"/>
  <c r="J32" i="29"/>
  <c r="L36" i="29"/>
  <c r="L7" i="30"/>
  <c r="L11" i="30"/>
  <c r="L15" i="30"/>
  <c r="F20" i="31"/>
  <c r="F98" i="31"/>
  <c r="N96" i="31"/>
  <c r="N97" i="31"/>
  <c r="M98" i="31"/>
  <c r="H30" i="31"/>
  <c r="O34" i="31"/>
  <c r="I39" i="31"/>
  <c r="I42" i="31"/>
  <c r="I44" i="31"/>
  <c r="F6" i="32"/>
  <c r="L6" i="32"/>
  <c r="L8" i="32"/>
  <c r="L10" i="32"/>
  <c r="L12" i="32"/>
  <c r="L14" i="32"/>
  <c r="L16" i="32"/>
  <c r="L18" i="32"/>
  <c r="L20" i="32"/>
  <c r="L98" i="32"/>
  <c r="J98" i="32"/>
  <c r="L36" i="32"/>
  <c r="F39" i="32"/>
  <c r="F42" i="32"/>
  <c r="F44" i="32"/>
  <c r="F98" i="32"/>
  <c r="L34" i="33"/>
  <c r="D23" i="33"/>
  <c r="O7" i="36"/>
  <c r="O9" i="36"/>
  <c r="O11" i="36"/>
  <c r="O13" i="36"/>
  <c r="O15" i="36"/>
  <c r="I25" i="36"/>
  <c r="I27" i="36"/>
  <c r="I29" i="36"/>
  <c r="K32" i="38"/>
  <c r="K40" i="38"/>
  <c r="D98" i="38"/>
  <c r="F20" i="38"/>
  <c r="F98" i="38"/>
  <c r="H30" i="34"/>
  <c r="N32" i="34"/>
  <c r="N40" i="34"/>
  <c r="E98" i="35"/>
  <c r="D23" i="36"/>
  <c r="G32" i="37"/>
  <c r="M98" i="37"/>
  <c r="O32" i="38"/>
  <c r="G23" i="38"/>
  <c r="H21" i="38"/>
  <c r="E98" i="38"/>
  <c r="I34" i="38"/>
  <c r="G32" i="38"/>
  <c r="L7" i="31"/>
  <c r="L9" i="31"/>
  <c r="L11" i="31"/>
  <c r="L13" i="31"/>
  <c r="L15" i="31"/>
  <c r="L19" i="31"/>
  <c r="F25" i="31"/>
  <c r="O10" i="32"/>
  <c r="O14" i="32"/>
  <c r="M98" i="32"/>
  <c r="H30" i="32"/>
  <c r="I42" i="32"/>
  <c r="F8" i="34"/>
  <c r="F12" i="34"/>
  <c r="F16" i="34"/>
  <c r="L29" i="34"/>
  <c r="F36" i="34"/>
  <c r="L38" i="34"/>
  <c r="L41" i="34"/>
  <c r="L43" i="34"/>
  <c r="O46" i="34"/>
  <c r="G98" i="35"/>
  <c r="F18" i="36"/>
  <c r="F20" i="36"/>
  <c r="D98" i="36"/>
  <c r="E40" i="36"/>
  <c r="O20" i="37"/>
  <c r="O98" i="37"/>
  <c r="O18" i="37"/>
  <c r="N98" i="37"/>
  <c r="E30" i="38"/>
  <c r="I92" i="33"/>
  <c r="D98" i="34"/>
  <c r="H98" i="35"/>
  <c r="L36" i="35"/>
  <c r="E98" i="36"/>
  <c r="J98" i="38"/>
  <c r="G32" i="32"/>
  <c r="D98" i="33"/>
  <c r="I20" i="34"/>
  <c r="G98" i="34"/>
  <c r="K98" i="35"/>
  <c r="G32" i="36"/>
  <c r="H98" i="36"/>
  <c r="I7" i="37"/>
  <c r="I11" i="37"/>
  <c r="I15" i="37"/>
  <c r="N30" i="37"/>
  <c r="H32" i="37"/>
  <c r="H40" i="37"/>
  <c r="H96" i="37"/>
  <c r="H97" i="37"/>
  <c r="K98" i="38"/>
  <c r="E96" i="31"/>
  <c r="E97" i="31"/>
  <c r="D98" i="31"/>
  <c r="L92" i="31"/>
  <c r="I19" i="32"/>
  <c r="N30" i="32"/>
  <c r="N40" i="32"/>
  <c r="N96" i="32"/>
  <c r="N97" i="32"/>
  <c r="I8" i="33"/>
  <c r="I12" i="33"/>
  <c r="I16" i="33"/>
  <c r="F18" i="33"/>
  <c r="F20" i="33"/>
  <c r="F98" i="33"/>
  <c r="E98" i="33"/>
  <c r="O27" i="33"/>
  <c r="I34" i="33"/>
  <c r="I36" i="33"/>
  <c r="O41" i="33"/>
  <c r="L92" i="33"/>
  <c r="H98" i="34"/>
  <c r="N96" i="35"/>
  <c r="N97" i="35"/>
  <c r="O8" i="35"/>
  <c r="O12" i="35"/>
  <c r="O16" i="35"/>
  <c r="M98" i="35"/>
  <c r="H30" i="35"/>
  <c r="O34" i="35"/>
  <c r="I42" i="35"/>
  <c r="I44" i="35"/>
  <c r="J23" i="36"/>
  <c r="K21" i="36"/>
  <c r="L8" i="36"/>
  <c r="L12" i="36"/>
  <c r="L16" i="36"/>
  <c r="L18" i="36"/>
  <c r="L20" i="36"/>
  <c r="L98" i="36"/>
  <c r="J98" i="36"/>
  <c r="F26" i="36"/>
  <c r="F28" i="36"/>
  <c r="L34" i="36"/>
  <c r="L36" i="36"/>
  <c r="F39" i="36"/>
  <c r="F42" i="36"/>
  <c r="F44" i="36"/>
  <c r="I27" i="38"/>
  <c r="H40" i="38"/>
  <c r="H96" i="38"/>
  <c r="H97" i="38"/>
  <c r="D32" i="35"/>
  <c r="F32" i="35"/>
  <c r="K98" i="36"/>
  <c r="D32" i="38"/>
  <c r="I18" i="31"/>
  <c r="I20" i="31"/>
  <c r="G98" i="31"/>
  <c r="J23" i="33"/>
  <c r="L8" i="33"/>
  <c r="L10" i="33"/>
  <c r="L12" i="33"/>
  <c r="L14" i="33"/>
  <c r="L16" i="33"/>
  <c r="H98" i="33"/>
  <c r="D30" i="33"/>
  <c r="L36" i="33"/>
  <c r="M23" i="34"/>
  <c r="O8" i="34"/>
  <c r="O12" i="34"/>
  <c r="O16" i="34"/>
  <c r="K98" i="34"/>
  <c r="I28" i="34"/>
  <c r="O36" i="34"/>
  <c r="I39" i="34"/>
  <c r="I42" i="34"/>
  <c r="I44" i="34"/>
  <c r="O8" i="36"/>
  <c r="O10" i="36"/>
  <c r="O12" i="36"/>
  <c r="O14" i="36"/>
  <c r="O16" i="36"/>
  <c r="M98" i="36"/>
  <c r="I26" i="36"/>
  <c r="I28" i="36"/>
  <c r="I39" i="36"/>
  <c r="I42" i="36"/>
  <c r="I44" i="36"/>
  <c r="O27" i="38"/>
  <c r="K30" i="38"/>
  <c r="E32" i="38"/>
  <c r="E40" i="38"/>
  <c r="N96" i="34"/>
  <c r="N97" i="34"/>
  <c r="M98" i="34"/>
  <c r="E30" i="36"/>
  <c r="N98" i="36"/>
  <c r="M23" i="32"/>
  <c r="O35" i="32"/>
  <c r="I38" i="32"/>
  <c r="K98" i="33"/>
  <c r="F7" i="34"/>
  <c r="F11" i="34"/>
  <c r="F15" i="34"/>
  <c r="O18" i="34"/>
  <c r="O20" i="34"/>
  <c r="O98" i="34"/>
  <c r="N98" i="34"/>
  <c r="F33" i="34"/>
  <c r="F35" i="34"/>
  <c r="L42" i="34"/>
  <c r="M23" i="35"/>
  <c r="N21" i="35"/>
  <c r="O21" i="35"/>
  <c r="I20" i="35"/>
  <c r="H30" i="36"/>
  <c r="L20" i="38"/>
  <c r="L98" i="38"/>
  <c r="I40" i="42"/>
  <c r="G96" i="42"/>
  <c r="G97" i="42"/>
  <c r="F20" i="37"/>
  <c r="D98" i="37"/>
  <c r="L92" i="37"/>
  <c r="O20" i="38"/>
  <c r="O98" i="38"/>
  <c r="G23" i="36"/>
  <c r="H21" i="36"/>
  <c r="N30" i="36"/>
  <c r="H32" i="36"/>
  <c r="H40" i="36"/>
  <c r="I12" i="37"/>
  <c r="E98" i="37"/>
  <c r="M30" i="37"/>
  <c r="O29" i="37"/>
  <c r="I34" i="37"/>
  <c r="I36" i="37"/>
  <c r="O41" i="37"/>
  <c r="I20" i="37"/>
  <c r="G98" i="37"/>
  <c r="O92" i="37"/>
  <c r="I92" i="35"/>
  <c r="F92" i="36"/>
  <c r="L6" i="37"/>
  <c r="H98" i="37"/>
  <c r="O19" i="38"/>
  <c r="I92" i="38"/>
  <c r="L30" i="42"/>
  <c r="E32" i="37"/>
  <c r="E40" i="37"/>
  <c r="E96" i="37"/>
  <c r="E97" i="37"/>
  <c r="N96" i="38"/>
  <c r="N97" i="38"/>
  <c r="M98" i="38"/>
  <c r="F98" i="42"/>
  <c r="L19" i="37"/>
  <c r="I29" i="37"/>
  <c r="F92" i="37"/>
  <c r="I37" i="42"/>
  <c r="I32" i="42"/>
  <c r="F8" i="37"/>
  <c r="F12" i="37"/>
  <c r="F16" i="37"/>
  <c r="F36" i="37"/>
  <c r="I98" i="38"/>
  <c r="E96" i="42"/>
  <c r="E97" i="42"/>
  <c r="L8" i="37"/>
  <c r="L12" i="37"/>
  <c r="L16" i="37"/>
  <c r="L20" i="37"/>
  <c r="L98" i="37"/>
  <c r="J98" i="37"/>
  <c r="F28" i="37"/>
  <c r="L36" i="37"/>
  <c r="F39" i="37"/>
  <c r="F42" i="37"/>
  <c r="F44" i="37"/>
  <c r="G98" i="38"/>
  <c r="M23" i="37"/>
  <c r="O8" i="37"/>
  <c r="O10" i="37"/>
  <c r="O12" i="37"/>
  <c r="O14" i="37"/>
  <c r="O16" i="37"/>
  <c r="K98" i="37"/>
  <c r="I26" i="37"/>
  <c r="I28" i="37"/>
  <c r="O32" i="37"/>
  <c r="O36" i="37"/>
  <c r="I39" i="37"/>
  <c r="I42" i="37"/>
  <c r="I44" i="37"/>
  <c r="H98" i="38"/>
  <c r="D40" i="42"/>
  <c r="N81" i="42"/>
  <c r="H23" i="42"/>
  <c r="K81" i="42"/>
  <c r="O30" i="42"/>
  <c r="O23" i="42"/>
  <c r="F21" i="42"/>
  <c r="E23" i="42"/>
  <c r="M40" i="42"/>
  <c r="J40" i="42"/>
  <c r="J96" i="42"/>
  <c r="J97" i="42"/>
  <c r="L23" i="42"/>
  <c r="G47" i="42"/>
  <c r="O30" i="38"/>
  <c r="K21" i="38"/>
  <c r="L32" i="38"/>
  <c r="N21" i="38"/>
  <c r="O21" i="38"/>
  <c r="I37" i="38"/>
  <c r="I32" i="38"/>
  <c r="E21" i="38"/>
  <c r="J37" i="38"/>
  <c r="L37" i="38"/>
  <c r="I6" i="38"/>
  <c r="O26" i="38"/>
  <c r="O38" i="38"/>
  <c r="L25" i="38"/>
  <c r="D31" i="38"/>
  <c r="F31" i="38"/>
  <c r="L33" i="38"/>
  <c r="M37" i="38"/>
  <c r="O37" i="38"/>
  <c r="L6" i="38"/>
  <c r="G31" i="38"/>
  <c r="I31" i="38"/>
  <c r="O33" i="38"/>
  <c r="D30" i="38"/>
  <c r="F30" i="38"/>
  <c r="B1" i="38"/>
  <c r="O6" i="38"/>
  <c r="J31" i="38"/>
  <c r="L31" i="38"/>
  <c r="F38" i="38"/>
  <c r="G4" i="38"/>
  <c r="G30" i="38"/>
  <c r="I30" i="38"/>
  <c r="J4" i="38"/>
  <c r="D37" i="38"/>
  <c r="F37" i="38"/>
  <c r="M31" i="38"/>
  <c r="O31" i="38"/>
  <c r="J30" i="38"/>
  <c r="F33" i="38"/>
  <c r="L32" i="37"/>
  <c r="K40" i="37"/>
  <c r="K96" i="37"/>
  <c r="K97" i="37"/>
  <c r="L34" i="37"/>
  <c r="F26" i="37"/>
  <c r="J23" i="37"/>
  <c r="I21" i="37"/>
  <c r="H23" i="37"/>
  <c r="L21" i="37"/>
  <c r="O21" i="37"/>
  <c r="N23" i="37"/>
  <c r="N40" i="37"/>
  <c r="N96" i="37"/>
  <c r="N97" i="37"/>
  <c r="I37" i="37"/>
  <c r="J37" i="37"/>
  <c r="I6" i="37"/>
  <c r="O26" i="37"/>
  <c r="O38" i="37"/>
  <c r="D31" i="37"/>
  <c r="F31" i="37"/>
  <c r="M37" i="37"/>
  <c r="O37" i="37"/>
  <c r="O25" i="37"/>
  <c r="G31" i="37"/>
  <c r="I31" i="37"/>
  <c r="O33" i="37"/>
  <c r="D30" i="37"/>
  <c r="F30" i="37"/>
  <c r="B1" i="37"/>
  <c r="O6" i="37"/>
  <c r="J31" i="37"/>
  <c r="L31" i="37"/>
  <c r="F34" i="37"/>
  <c r="F38" i="37"/>
  <c r="G4" i="37"/>
  <c r="G30" i="37"/>
  <c r="I30" i="37"/>
  <c r="J4" i="37"/>
  <c r="F37" i="37"/>
  <c r="M31" i="37"/>
  <c r="O31" i="37"/>
  <c r="J30" i="37"/>
  <c r="L30" i="37"/>
  <c r="F6" i="37"/>
  <c r="F32" i="36"/>
  <c r="N40" i="36"/>
  <c r="M23" i="36"/>
  <c r="N21" i="36"/>
  <c r="O21" i="36"/>
  <c r="L30" i="36"/>
  <c r="O30" i="36"/>
  <c r="F33" i="36"/>
  <c r="K32" i="36"/>
  <c r="K40" i="36"/>
  <c r="O32" i="36"/>
  <c r="I37" i="36"/>
  <c r="E21" i="36"/>
  <c r="J37" i="36"/>
  <c r="I6" i="36"/>
  <c r="O38" i="36"/>
  <c r="L25" i="36"/>
  <c r="D31" i="36"/>
  <c r="F31" i="36"/>
  <c r="L33" i="36"/>
  <c r="M37" i="36"/>
  <c r="O37" i="36"/>
  <c r="L6" i="36"/>
  <c r="G31" i="36"/>
  <c r="I31" i="36"/>
  <c r="D30" i="36"/>
  <c r="B1" i="36"/>
  <c r="O6" i="36"/>
  <c r="J31" i="36"/>
  <c r="L31" i="36"/>
  <c r="F34" i="36"/>
  <c r="F38" i="36"/>
  <c r="G4" i="36"/>
  <c r="G30" i="36"/>
  <c r="I30" i="36"/>
  <c r="J4" i="36"/>
  <c r="F37" i="36"/>
  <c r="M31" i="36"/>
  <c r="O31" i="36"/>
  <c r="E40" i="35"/>
  <c r="L20" i="35"/>
  <c r="L98" i="35"/>
  <c r="H40" i="35"/>
  <c r="H96" i="35"/>
  <c r="H97" i="35"/>
  <c r="K32" i="35"/>
  <c r="K40" i="35"/>
  <c r="O32" i="35"/>
  <c r="E30" i="35"/>
  <c r="F30" i="35"/>
  <c r="I37" i="35"/>
  <c r="E21" i="35"/>
  <c r="H21" i="35"/>
  <c r="H23" i="35"/>
  <c r="K21" i="35"/>
  <c r="K23" i="35"/>
  <c r="J37" i="35"/>
  <c r="I6" i="35"/>
  <c r="O38" i="35"/>
  <c r="D31" i="35"/>
  <c r="F31" i="35"/>
  <c r="L33" i="35"/>
  <c r="M37" i="35"/>
  <c r="O37" i="35"/>
  <c r="L6" i="35"/>
  <c r="G31" i="35"/>
  <c r="I31" i="35"/>
  <c r="O33" i="35"/>
  <c r="B1" i="35"/>
  <c r="J31" i="35"/>
  <c r="L31" i="35"/>
  <c r="G4" i="35"/>
  <c r="G30" i="35"/>
  <c r="I30" i="35"/>
  <c r="J4" i="35"/>
  <c r="F37" i="35"/>
  <c r="M31" i="35"/>
  <c r="O31" i="35"/>
  <c r="J30" i="35"/>
  <c r="L30" i="35"/>
  <c r="F33" i="35"/>
  <c r="E40" i="34"/>
  <c r="G32" i="34"/>
  <c r="M30" i="34"/>
  <c r="O30" i="34"/>
  <c r="H32" i="34"/>
  <c r="H40" i="34"/>
  <c r="H96" i="34"/>
  <c r="H97" i="34"/>
  <c r="L20" i="34"/>
  <c r="L98" i="34"/>
  <c r="F32" i="34"/>
  <c r="K32" i="34"/>
  <c r="L32" i="34"/>
  <c r="O32" i="34"/>
  <c r="E30" i="34"/>
  <c r="E96" i="34"/>
  <c r="E97" i="34"/>
  <c r="I37" i="34"/>
  <c r="I21" i="34"/>
  <c r="H23" i="34"/>
  <c r="L21" i="34"/>
  <c r="K23" i="34"/>
  <c r="O21" i="34"/>
  <c r="N23" i="34"/>
  <c r="I6" i="34"/>
  <c r="O26" i="34"/>
  <c r="O34" i="34"/>
  <c r="O38" i="34"/>
  <c r="D31" i="34"/>
  <c r="F31" i="34"/>
  <c r="L33" i="34"/>
  <c r="L37" i="34"/>
  <c r="M37" i="34"/>
  <c r="O37" i="34"/>
  <c r="G31" i="34"/>
  <c r="I31" i="34"/>
  <c r="D30" i="34"/>
  <c r="B1" i="34"/>
  <c r="J31" i="34"/>
  <c r="L31" i="34"/>
  <c r="G4" i="34"/>
  <c r="G30" i="34"/>
  <c r="I30" i="34"/>
  <c r="J4" i="34"/>
  <c r="F37" i="34"/>
  <c r="M31" i="34"/>
  <c r="O31" i="34"/>
  <c r="J30" i="34"/>
  <c r="L30" i="34"/>
  <c r="F6" i="34"/>
  <c r="O30" i="33"/>
  <c r="O19" i="33"/>
  <c r="G32" i="33"/>
  <c r="I32" i="33"/>
  <c r="L32" i="33"/>
  <c r="I37" i="33"/>
  <c r="O21" i="33"/>
  <c r="I21" i="33"/>
  <c r="L21" i="33"/>
  <c r="N40" i="33"/>
  <c r="N96" i="33"/>
  <c r="N97" i="33"/>
  <c r="O32" i="33"/>
  <c r="J37" i="33"/>
  <c r="I6" i="33"/>
  <c r="O26" i="33"/>
  <c r="O34" i="33"/>
  <c r="O38" i="33"/>
  <c r="D31" i="33"/>
  <c r="F31" i="33"/>
  <c r="L33" i="33"/>
  <c r="O7" i="33"/>
  <c r="M37" i="33"/>
  <c r="O37" i="33"/>
  <c r="L6" i="33"/>
  <c r="G31" i="33"/>
  <c r="I31" i="33"/>
  <c r="E30" i="33"/>
  <c r="F30" i="33"/>
  <c r="J31" i="33"/>
  <c r="L31" i="33"/>
  <c r="G4" i="33"/>
  <c r="G30" i="33"/>
  <c r="I30" i="33"/>
  <c r="J4" i="33"/>
  <c r="D37" i="33"/>
  <c r="F37" i="33"/>
  <c r="M31" i="33"/>
  <c r="O31" i="33"/>
  <c r="J30" i="33"/>
  <c r="L30" i="33"/>
  <c r="F33" i="33"/>
  <c r="F6" i="33"/>
  <c r="L32" i="32"/>
  <c r="L34" i="32"/>
  <c r="J23" i="32"/>
  <c r="L21" i="32"/>
  <c r="F26" i="32"/>
  <c r="H40" i="32"/>
  <c r="I26" i="32"/>
  <c r="F32" i="32"/>
  <c r="I21" i="32"/>
  <c r="H23" i="32"/>
  <c r="K40" i="32"/>
  <c r="K96" i="32"/>
  <c r="K97" i="32"/>
  <c r="O21" i="32"/>
  <c r="O30" i="32"/>
  <c r="I32" i="32"/>
  <c r="O32" i="32"/>
  <c r="I37" i="32"/>
  <c r="F36" i="32"/>
  <c r="J37" i="32"/>
  <c r="I6" i="32"/>
  <c r="O26" i="32"/>
  <c r="O34" i="32"/>
  <c r="O38" i="32"/>
  <c r="D31" i="32"/>
  <c r="F31" i="32"/>
  <c r="L33" i="32"/>
  <c r="M37" i="32"/>
  <c r="O37" i="32"/>
  <c r="O25" i="32"/>
  <c r="G31" i="32"/>
  <c r="I31" i="32"/>
  <c r="O33" i="32"/>
  <c r="D30" i="32"/>
  <c r="F30" i="32"/>
  <c r="B1" i="32"/>
  <c r="O6" i="32"/>
  <c r="J31" i="32"/>
  <c r="L31" i="32"/>
  <c r="F34" i="32"/>
  <c r="F38" i="32"/>
  <c r="G4" i="32"/>
  <c r="G30" i="32"/>
  <c r="I30" i="32"/>
  <c r="J4" i="32"/>
  <c r="F37" i="32"/>
  <c r="M31" i="32"/>
  <c r="O31" i="32"/>
  <c r="J30" i="32"/>
  <c r="L30" i="32"/>
  <c r="L34" i="31"/>
  <c r="J23" i="31"/>
  <c r="F26" i="31"/>
  <c r="H40" i="31"/>
  <c r="H96" i="31"/>
  <c r="H97" i="31"/>
  <c r="G32" i="31"/>
  <c r="I32" i="31"/>
  <c r="L32" i="31"/>
  <c r="K40" i="31"/>
  <c r="K96" i="31"/>
  <c r="K97" i="31"/>
  <c r="I21" i="31"/>
  <c r="H23" i="31"/>
  <c r="I37" i="31"/>
  <c r="O21" i="31"/>
  <c r="N23" i="31"/>
  <c r="O23" i="31"/>
  <c r="F32" i="31"/>
  <c r="F36" i="31"/>
  <c r="J37" i="31"/>
  <c r="I6" i="31"/>
  <c r="O26" i="31"/>
  <c r="O38" i="31"/>
  <c r="D31" i="31"/>
  <c r="F31" i="31"/>
  <c r="L33" i="31"/>
  <c r="M37" i="31"/>
  <c r="O37" i="31"/>
  <c r="L6" i="31"/>
  <c r="G31" i="31"/>
  <c r="I31" i="31"/>
  <c r="O33" i="31"/>
  <c r="D30" i="31"/>
  <c r="F30" i="31"/>
  <c r="B1" i="31"/>
  <c r="O6" i="31"/>
  <c r="J31" i="31"/>
  <c r="L31" i="31"/>
  <c r="F38" i="31"/>
  <c r="G30" i="31"/>
  <c r="J4" i="31"/>
  <c r="D37" i="31"/>
  <c r="F37" i="31"/>
  <c r="M31" i="31"/>
  <c r="O31" i="31"/>
  <c r="J30" i="31"/>
  <c r="L30" i="31"/>
  <c r="F33" i="31"/>
  <c r="F6" i="31"/>
  <c r="J23" i="30"/>
  <c r="F26" i="30"/>
  <c r="O30" i="30"/>
  <c r="K32" i="30"/>
  <c r="K40" i="30"/>
  <c r="O32" i="30"/>
  <c r="L21" i="30"/>
  <c r="O21" i="30"/>
  <c r="I32" i="30"/>
  <c r="N40" i="30"/>
  <c r="N96" i="30"/>
  <c r="N97" i="30"/>
  <c r="I37" i="30"/>
  <c r="I21" i="30"/>
  <c r="F36" i="30"/>
  <c r="J37" i="30"/>
  <c r="I6" i="30"/>
  <c r="O26" i="30"/>
  <c r="O38" i="30"/>
  <c r="D31" i="30"/>
  <c r="F31" i="30"/>
  <c r="L33" i="30"/>
  <c r="M37" i="30"/>
  <c r="O37" i="30"/>
  <c r="L6" i="30"/>
  <c r="G31" i="30"/>
  <c r="I31" i="30"/>
  <c r="O33" i="30"/>
  <c r="D30" i="30"/>
  <c r="F30" i="30"/>
  <c r="B1" i="30"/>
  <c r="O6" i="30"/>
  <c r="J31" i="30"/>
  <c r="L31" i="30"/>
  <c r="F38" i="30"/>
  <c r="G4" i="30"/>
  <c r="G30" i="30"/>
  <c r="I30" i="30"/>
  <c r="J4" i="30"/>
  <c r="F37" i="30"/>
  <c r="M31" i="30"/>
  <c r="O31" i="30"/>
  <c r="J30" i="30"/>
  <c r="F33" i="30"/>
  <c r="F32" i="29"/>
  <c r="L32" i="29"/>
  <c r="L34" i="29"/>
  <c r="O32" i="29"/>
  <c r="F26" i="29"/>
  <c r="J23" i="29"/>
  <c r="K21" i="29"/>
  <c r="H30" i="29"/>
  <c r="N21" i="29"/>
  <c r="O21" i="29"/>
  <c r="K40" i="29"/>
  <c r="I37" i="29"/>
  <c r="E21" i="29"/>
  <c r="F36" i="29"/>
  <c r="J37" i="29"/>
  <c r="L37" i="29"/>
  <c r="M30" i="29"/>
  <c r="O30" i="29"/>
  <c r="I6" i="29"/>
  <c r="O34" i="29"/>
  <c r="O38" i="29"/>
  <c r="D31" i="29"/>
  <c r="F31" i="29"/>
  <c r="H32" i="29"/>
  <c r="H40" i="29"/>
  <c r="L33" i="29"/>
  <c r="M37" i="29"/>
  <c r="O37" i="29"/>
  <c r="L6" i="29"/>
  <c r="G31" i="29"/>
  <c r="I31" i="29"/>
  <c r="D30" i="29"/>
  <c r="F30" i="29"/>
  <c r="B1" i="29"/>
  <c r="O6" i="29"/>
  <c r="J31" i="29"/>
  <c r="L31" i="29"/>
  <c r="F34" i="29"/>
  <c r="F38" i="29"/>
  <c r="G4" i="29"/>
  <c r="J4" i="29"/>
  <c r="D37" i="29"/>
  <c r="F37" i="29"/>
  <c r="M31" i="29"/>
  <c r="O31" i="29"/>
  <c r="F25" i="29"/>
  <c r="J30" i="29"/>
  <c r="L30" i="29"/>
  <c r="L34" i="28"/>
  <c r="J23" i="28"/>
  <c r="K21" i="28"/>
  <c r="F26" i="28"/>
  <c r="O34" i="28"/>
  <c r="H32" i="28"/>
  <c r="H40" i="28"/>
  <c r="H96" i="28"/>
  <c r="H97" i="28"/>
  <c r="F33" i="28"/>
  <c r="O32" i="28"/>
  <c r="I37" i="28"/>
  <c r="E21" i="28"/>
  <c r="H21" i="28"/>
  <c r="H23" i="28"/>
  <c r="I23" i="28"/>
  <c r="N21" i="28"/>
  <c r="O21" i="28"/>
  <c r="L32" i="28"/>
  <c r="J37" i="28"/>
  <c r="I6" i="28"/>
  <c r="O26" i="28"/>
  <c r="O38" i="28"/>
  <c r="D31" i="28"/>
  <c r="F31" i="28"/>
  <c r="L33" i="28"/>
  <c r="M37" i="28"/>
  <c r="O37" i="28"/>
  <c r="L6" i="28"/>
  <c r="G31" i="28"/>
  <c r="I31" i="28"/>
  <c r="K40" i="28"/>
  <c r="D30" i="28"/>
  <c r="F30" i="28"/>
  <c r="B1" i="28"/>
  <c r="O6" i="28"/>
  <c r="J31" i="28"/>
  <c r="L31" i="28"/>
  <c r="F34" i="28"/>
  <c r="F38" i="28"/>
  <c r="G4" i="28"/>
  <c r="G30" i="28"/>
  <c r="I30" i="28"/>
  <c r="J4" i="28"/>
  <c r="F37" i="28"/>
  <c r="M31" i="28"/>
  <c r="O31" i="28"/>
  <c r="J30" i="28"/>
  <c r="L30" i="28"/>
  <c r="F6" i="28"/>
  <c r="O30" i="27"/>
  <c r="L32" i="27"/>
  <c r="G23" i="27"/>
  <c r="H21" i="27"/>
  <c r="H32" i="27"/>
  <c r="H40" i="27"/>
  <c r="E40" i="27"/>
  <c r="O32" i="27"/>
  <c r="E21" i="27"/>
  <c r="I37" i="27"/>
  <c r="K21" i="27"/>
  <c r="N21" i="27"/>
  <c r="O21" i="27"/>
  <c r="N23" i="27"/>
  <c r="I32" i="27"/>
  <c r="F32" i="27"/>
  <c r="F36" i="27"/>
  <c r="J37" i="27"/>
  <c r="L37" i="27"/>
  <c r="I6" i="27"/>
  <c r="O26" i="27"/>
  <c r="O38" i="27"/>
  <c r="D31" i="27"/>
  <c r="F31" i="27"/>
  <c r="L33" i="27"/>
  <c r="M37" i="27"/>
  <c r="O37" i="27"/>
  <c r="L6" i="27"/>
  <c r="G31" i="27"/>
  <c r="I31" i="27"/>
  <c r="O33" i="27"/>
  <c r="D30" i="27"/>
  <c r="F30" i="27"/>
  <c r="B1" i="27"/>
  <c r="O6" i="27"/>
  <c r="J31" i="27"/>
  <c r="L31" i="27"/>
  <c r="F38" i="27"/>
  <c r="G4" i="27"/>
  <c r="G30" i="27"/>
  <c r="J4" i="27"/>
  <c r="D37" i="27"/>
  <c r="F37" i="27"/>
  <c r="M31" i="27"/>
  <c r="O31" i="27"/>
  <c r="J30" i="27"/>
  <c r="L30" i="27"/>
  <c r="L20" i="26"/>
  <c r="L98" i="26"/>
  <c r="E40" i="26"/>
  <c r="E96" i="26"/>
  <c r="E97" i="26"/>
  <c r="K32" i="26"/>
  <c r="K40" i="26"/>
  <c r="D23" i="26"/>
  <c r="F30" i="26"/>
  <c r="M23" i="26"/>
  <c r="N21" i="26"/>
  <c r="O21" i="26"/>
  <c r="I37" i="26"/>
  <c r="H21" i="26"/>
  <c r="K21" i="26"/>
  <c r="K23" i="26"/>
  <c r="I30" i="26"/>
  <c r="O32" i="26"/>
  <c r="O30" i="26"/>
  <c r="L30" i="26"/>
  <c r="I6" i="26"/>
  <c r="G32" i="26"/>
  <c r="I32" i="26"/>
  <c r="O38" i="26"/>
  <c r="D31" i="26"/>
  <c r="F31" i="26"/>
  <c r="L33" i="26"/>
  <c r="L37" i="26"/>
  <c r="M37" i="26"/>
  <c r="O37" i="26"/>
  <c r="L6" i="26"/>
  <c r="G31" i="26"/>
  <c r="I31" i="26"/>
  <c r="B1" i="26"/>
  <c r="O6" i="26"/>
  <c r="J31" i="26"/>
  <c r="L31" i="26"/>
  <c r="G4" i="26"/>
  <c r="J4" i="26"/>
  <c r="D37" i="26"/>
  <c r="F37" i="26"/>
  <c r="M31" i="26"/>
  <c r="O31" i="26"/>
  <c r="J23" i="25"/>
  <c r="F26" i="25"/>
  <c r="O6" i="25"/>
  <c r="D32" i="25"/>
  <c r="F32" i="25"/>
  <c r="L30" i="25"/>
  <c r="H32" i="25"/>
  <c r="H40" i="25"/>
  <c r="H96" i="25"/>
  <c r="H97" i="25"/>
  <c r="N30" i="25"/>
  <c r="N40" i="25"/>
  <c r="N96" i="25"/>
  <c r="N97" i="25"/>
  <c r="K32" i="25"/>
  <c r="K40" i="25"/>
  <c r="K96" i="25"/>
  <c r="K97" i="25"/>
  <c r="O21" i="25"/>
  <c r="O32" i="25"/>
  <c r="I21" i="25"/>
  <c r="I6" i="25"/>
  <c r="O26" i="25"/>
  <c r="G32" i="25"/>
  <c r="O34" i="25"/>
  <c r="O38" i="25"/>
  <c r="D31" i="25"/>
  <c r="F31" i="25"/>
  <c r="L33" i="25"/>
  <c r="O7" i="25"/>
  <c r="M37" i="25"/>
  <c r="O37" i="25"/>
  <c r="L6" i="25"/>
  <c r="F35" i="25"/>
  <c r="G31" i="25"/>
  <c r="I31" i="25"/>
  <c r="D30" i="25"/>
  <c r="F30" i="25"/>
  <c r="J31" i="25"/>
  <c r="L31" i="25"/>
  <c r="G4" i="25"/>
  <c r="G30" i="25"/>
  <c r="I30" i="25"/>
  <c r="J4" i="25"/>
  <c r="M31" i="25"/>
  <c r="O31" i="25"/>
  <c r="G23" i="24"/>
  <c r="L34" i="24"/>
  <c r="I32" i="24"/>
  <c r="N30" i="24"/>
  <c r="O30" i="24"/>
  <c r="L21" i="24"/>
  <c r="K23" i="24"/>
  <c r="N40" i="24"/>
  <c r="O32" i="24"/>
  <c r="I37" i="24"/>
  <c r="O21" i="24"/>
  <c r="I21" i="24"/>
  <c r="L32" i="24"/>
  <c r="H23" i="24"/>
  <c r="J37" i="24"/>
  <c r="L37" i="24"/>
  <c r="I6" i="24"/>
  <c r="O26" i="24"/>
  <c r="O34" i="24"/>
  <c r="O38" i="24"/>
  <c r="D31" i="24"/>
  <c r="F31" i="24"/>
  <c r="L33" i="24"/>
  <c r="O7" i="24"/>
  <c r="M37" i="24"/>
  <c r="O37" i="24"/>
  <c r="L6" i="24"/>
  <c r="G31" i="24"/>
  <c r="I31" i="24"/>
  <c r="D30" i="24"/>
  <c r="F30" i="24"/>
  <c r="J31" i="24"/>
  <c r="L31" i="24"/>
  <c r="F38" i="24"/>
  <c r="G4" i="24"/>
  <c r="G30" i="24"/>
  <c r="I30" i="24"/>
  <c r="J4" i="24"/>
  <c r="F37" i="24"/>
  <c r="M31" i="24"/>
  <c r="O31" i="24"/>
  <c r="J30" i="24"/>
  <c r="L30" i="24"/>
  <c r="F33" i="24"/>
  <c r="F6" i="24"/>
  <c r="K40" i="23"/>
  <c r="K96" i="23"/>
  <c r="K97" i="23"/>
  <c r="G32" i="23"/>
  <c r="I32" i="23"/>
  <c r="O32" i="23"/>
  <c r="I37" i="23"/>
  <c r="I21" i="23"/>
  <c r="L32" i="23"/>
  <c r="L21" i="23"/>
  <c r="K23" i="23"/>
  <c r="O21" i="23"/>
  <c r="N23" i="23"/>
  <c r="I6" i="23"/>
  <c r="O26" i="23"/>
  <c r="O34" i="23"/>
  <c r="O38" i="23"/>
  <c r="D31" i="23"/>
  <c r="F31" i="23"/>
  <c r="L33" i="23"/>
  <c r="L37" i="23"/>
  <c r="M37" i="23"/>
  <c r="O37" i="23"/>
  <c r="G31" i="23"/>
  <c r="I31" i="23"/>
  <c r="D30" i="23"/>
  <c r="F30" i="23"/>
  <c r="B1" i="23"/>
  <c r="O6" i="23"/>
  <c r="J31" i="23"/>
  <c r="L31" i="23"/>
  <c r="G4" i="23"/>
  <c r="G30" i="23"/>
  <c r="I30" i="23"/>
  <c r="J4" i="23"/>
  <c r="D37" i="23"/>
  <c r="F37" i="23"/>
  <c r="M31" i="23"/>
  <c r="O31" i="23"/>
  <c r="J30" i="23"/>
  <c r="L30" i="23"/>
  <c r="F33" i="23"/>
  <c r="L6" i="22"/>
  <c r="J30" i="22"/>
  <c r="L30" i="22"/>
  <c r="O32" i="22"/>
  <c r="M4" i="22"/>
  <c r="D23" i="22"/>
  <c r="E21" i="22"/>
  <c r="H21" i="22"/>
  <c r="H23" i="22"/>
  <c r="O30" i="22"/>
  <c r="N21" i="22"/>
  <c r="O21" i="22"/>
  <c r="F30" i="22"/>
  <c r="I37" i="22"/>
  <c r="K21" i="22"/>
  <c r="K40" i="22"/>
  <c r="L7" i="22"/>
  <c r="F36" i="22"/>
  <c r="J37" i="22"/>
  <c r="I6" i="22"/>
  <c r="O26" i="22"/>
  <c r="O38" i="22"/>
  <c r="L25" i="22"/>
  <c r="D31" i="22"/>
  <c r="F31" i="22"/>
  <c r="H32" i="22"/>
  <c r="L33" i="22"/>
  <c r="M37" i="22"/>
  <c r="O37" i="22"/>
  <c r="I25" i="22"/>
  <c r="G31" i="22"/>
  <c r="I31" i="22"/>
  <c r="O33" i="22"/>
  <c r="B1" i="22"/>
  <c r="O6" i="22"/>
  <c r="J31" i="22"/>
  <c r="L31" i="22"/>
  <c r="J4" i="22"/>
  <c r="F37" i="22"/>
  <c r="G30" i="22"/>
  <c r="I30" i="22"/>
  <c r="M31" i="22"/>
  <c r="O31" i="22"/>
  <c r="I30" i="21"/>
  <c r="O26" i="21"/>
  <c r="J32" i="21"/>
  <c r="L32" i="21"/>
  <c r="M4" i="21"/>
  <c r="K40" i="21"/>
  <c r="K96" i="21"/>
  <c r="K97" i="21"/>
  <c r="O21" i="21"/>
  <c r="O32" i="21"/>
  <c r="N40" i="21"/>
  <c r="N96" i="21"/>
  <c r="N97" i="21"/>
  <c r="L21" i="21"/>
  <c r="K23" i="21"/>
  <c r="M30" i="21"/>
  <c r="J37" i="21"/>
  <c r="I6" i="21"/>
  <c r="G32" i="21"/>
  <c r="I32" i="21"/>
  <c r="O38" i="21"/>
  <c r="M37" i="21"/>
  <c r="O37" i="21"/>
  <c r="L6" i="21"/>
  <c r="G31" i="21"/>
  <c r="I31" i="21"/>
  <c r="O33" i="21"/>
  <c r="D30" i="21"/>
  <c r="F30" i="21"/>
  <c r="B1" i="21"/>
  <c r="O6" i="21"/>
  <c r="J31" i="21"/>
  <c r="L31" i="21"/>
  <c r="J4" i="21"/>
  <c r="D37" i="21"/>
  <c r="F37" i="21"/>
  <c r="I26" i="21"/>
  <c r="M31" i="21"/>
  <c r="O31" i="21"/>
  <c r="J30" i="21"/>
  <c r="L30" i="21"/>
  <c r="F33" i="21"/>
  <c r="I32" i="20"/>
  <c r="J23" i="20"/>
  <c r="K21" i="20"/>
  <c r="O30" i="20"/>
  <c r="O32" i="20"/>
  <c r="K40" i="20"/>
  <c r="N21" i="20"/>
  <c r="O21" i="20"/>
  <c r="I37" i="20"/>
  <c r="F32" i="20"/>
  <c r="N40" i="20"/>
  <c r="E21" i="20"/>
  <c r="H21" i="20"/>
  <c r="F36" i="20"/>
  <c r="J37" i="20"/>
  <c r="I6" i="20"/>
  <c r="O38" i="20"/>
  <c r="D31" i="20"/>
  <c r="F31" i="20"/>
  <c r="L33" i="20"/>
  <c r="M37" i="20"/>
  <c r="O37" i="20"/>
  <c r="L6" i="20"/>
  <c r="G31" i="20"/>
  <c r="I31" i="20"/>
  <c r="O33" i="20"/>
  <c r="D30" i="20"/>
  <c r="F30" i="20"/>
  <c r="B1" i="20"/>
  <c r="O6" i="20"/>
  <c r="J31" i="20"/>
  <c r="L31" i="20"/>
  <c r="F38" i="20"/>
  <c r="G4" i="20"/>
  <c r="G30" i="20"/>
  <c r="I30" i="20"/>
  <c r="J4" i="20"/>
  <c r="D37" i="20"/>
  <c r="F37" i="20"/>
  <c r="M31" i="20"/>
  <c r="O31" i="20"/>
  <c r="J30" i="20"/>
  <c r="L30" i="20"/>
  <c r="F33" i="20"/>
  <c r="F6" i="20"/>
  <c r="D30" i="19"/>
  <c r="N32" i="19"/>
  <c r="O32" i="19"/>
  <c r="M23" i="19"/>
  <c r="O21" i="19"/>
  <c r="I26" i="19"/>
  <c r="H32" i="19"/>
  <c r="H40" i="19"/>
  <c r="H96" i="19"/>
  <c r="H97" i="19"/>
  <c r="O30" i="19"/>
  <c r="D23" i="19"/>
  <c r="L21" i="19"/>
  <c r="N40" i="19"/>
  <c r="N96" i="19"/>
  <c r="N97" i="19"/>
  <c r="I30" i="19"/>
  <c r="I37" i="19"/>
  <c r="F32" i="19"/>
  <c r="I21" i="19"/>
  <c r="F36" i="19"/>
  <c r="I6" i="19"/>
  <c r="O26" i="19"/>
  <c r="O34" i="19"/>
  <c r="O38" i="19"/>
  <c r="D31" i="19"/>
  <c r="F31" i="19"/>
  <c r="L33" i="19"/>
  <c r="L37" i="19"/>
  <c r="M37" i="19"/>
  <c r="O37" i="19"/>
  <c r="O25" i="19"/>
  <c r="G31" i="19"/>
  <c r="I31" i="19"/>
  <c r="E30" i="19"/>
  <c r="E96" i="19"/>
  <c r="E97" i="19"/>
  <c r="J31" i="19"/>
  <c r="L31" i="19"/>
  <c r="F34" i="19"/>
  <c r="F38" i="19"/>
  <c r="G4" i="19"/>
  <c r="J4" i="19"/>
  <c r="F37" i="19"/>
  <c r="M31" i="19"/>
  <c r="O31" i="19"/>
  <c r="M23" i="18"/>
  <c r="E30" i="18"/>
  <c r="F30" i="18"/>
  <c r="O32" i="18"/>
  <c r="F6" i="18"/>
  <c r="J23" i="18"/>
  <c r="I21" i="18"/>
  <c r="L21" i="18"/>
  <c r="O21" i="18"/>
  <c r="N40" i="18"/>
  <c r="N96" i="18"/>
  <c r="N97" i="18"/>
  <c r="N23" i="18"/>
  <c r="L32" i="18"/>
  <c r="J37" i="18"/>
  <c r="I6" i="18"/>
  <c r="O26" i="18"/>
  <c r="G32" i="18"/>
  <c r="I32" i="18"/>
  <c r="O38" i="18"/>
  <c r="D31" i="18"/>
  <c r="F31" i="18"/>
  <c r="L33" i="18"/>
  <c r="M37" i="18"/>
  <c r="O37" i="18"/>
  <c r="L6" i="18"/>
  <c r="G31" i="18"/>
  <c r="I31" i="18"/>
  <c r="O33" i="18"/>
  <c r="B1" i="18"/>
  <c r="J31" i="18"/>
  <c r="L31" i="18"/>
  <c r="G4" i="18"/>
  <c r="G30" i="18"/>
  <c r="I30" i="18"/>
  <c r="J4" i="18"/>
  <c r="D37" i="18"/>
  <c r="F37" i="18"/>
  <c r="M31" i="18"/>
  <c r="O31" i="18"/>
  <c r="J30" i="18"/>
  <c r="L30" i="18"/>
  <c r="F33" i="18"/>
  <c r="F30" i="16"/>
  <c r="I26" i="16"/>
  <c r="F31" i="16"/>
  <c r="E40" i="16"/>
  <c r="E96" i="16"/>
  <c r="E97" i="16"/>
  <c r="H32" i="16"/>
  <c r="H40" i="16"/>
  <c r="H96" i="16"/>
  <c r="H97" i="16"/>
  <c r="J4" i="16"/>
  <c r="J32" i="16"/>
  <c r="O21" i="16"/>
  <c r="L21" i="16"/>
  <c r="F21" i="16"/>
  <c r="O30" i="16"/>
  <c r="D40" i="16"/>
  <c r="D47" i="16"/>
  <c r="D50" i="16"/>
  <c r="D49" i="16"/>
  <c r="E23" i="16"/>
  <c r="J37" i="16"/>
  <c r="M37" i="16"/>
  <c r="O37" i="16"/>
  <c r="L25" i="16"/>
  <c r="L6" i="16"/>
  <c r="G31" i="16"/>
  <c r="I31" i="16"/>
  <c r="K32" i="16"/>
  <c r="L32" i="16"/>
  <c r="O33" i="16"/>
  <c r="B1" i="16"/>
  <c r="O6" i="16"/>
  <c r="G32" i="16"/>
  <c r="I32" i="16"/>
  <c r="J31" i="16"/>
  <c r="L31" i="16"/>
  <c r="G30" i="16"/>
  <c r="I30" i="16"/>
  <c r="M4" i="16"/>
  <c r="M31" i="16"/>
  <c r="O31" i="16"/>
  <c r="J30" i="16"/>
  <c r="F33" i="16"/>
  <c r="L32" i="25"/>
  <c r="H96" i="27"/>
  <c r="H97" i="27"/>
  <c r="N96" i="20"/>
  <c r="N97" i="20"/>
  <c r="H96" i="36"/>
  <c r="H97" i="36"/>
  <c r="I32" i="36"/>
  <c r="I32" i="37"/>
  <c r="O30" i="25"/>
  <c r="O98" i="33"/>
  <c r="N96" i="36"/>
  <c r="N97" i="36"/>
  <c r="K96" i="30"/>
  <c r="K97" i="30"/>
  <c r="D96" i="16"/>
  <c r="D97" i="16"/>
  <c r="H96" i="32"/>
  <c r="H97" i="32"/>
  <c r="F98" i="37"/>
  <c r="L32" i="30"/>
  <c r="H96" i="29"/>
  <c r="H97" i="29"/>
  <c r="H96" i="26"/>
  <c r="H97" i="26"/>
  <c r="I98" i="37"/>
  <c r="I98" i="26"/>
  <c r="I98" i="31"/>
  <c r="I98" i="35"/>
  <c r="I30" i="29"/>
  <c r="N40" i="16"/>
  <c r="N96" i="16"/>
  <c r="N97" i="16"/>
  <c r="L21" i="36"/>
  <c r="I21" i="38"/>
  <c r="I21" i="29"/>
  <c r="H23" i="29"/>
  <c r="I23" i="29"/>
  <c r="N23" i="26"/>
  <c r="O23" i="26"/>
  <c r="K40" i="34"/>
  <c r="K96" i="34"/>
  <c r="K97" i="34"/>
  <c r="F32" i="28"/>
  <c r="I21" i="22"/>
  <c r="L32" i="36"/>
  <c r="I21" i="26"/>
  <c r="L21" i="28"/>
  <c r="L32" i="35"/>
  <c r="L21" i="20"/>
  <c r="L21" i="26"/>
  <c r="F32" i="37"/>
  <c r="I98" i="34"/>
  <c r="I98" i="36"/>
  <c r="E96" i="18"/>
  <c r="E97" i="18"/>
  <c r="L21" i="27"/>
  <c r="F32" i="30"/>
  <c r="I30" i="31"/>
  <c r="F98" i="25"/>
  <c r="O98" i="19"/>
  <c r="I21" i="27"/>
  <c r="F30" i="34"/>
  <c r="L21" i="35"/>
  <c r="I98" i="29"/>
  <c r="L98" i="29"/>
  <c r="O98" i="21"/>
  <c r="O98" i="16"/>
  <c r="O98" i="22"/>
  <c r="F40" i="42"/>
  <c r="F96" i="42"/>
  <c r="F97" i="42"/>
  <c r="D96" i="42"/>
  <c r="D97" i="42"/>
  <c r="E96" i="33"/>
  <c r="E97" i="33"/>
  <c r="J40" i="27"/>
  <c r="L40" i="27"/>
  <c r="L96" i="27"/>
  <c r="L97" i="27"/>
  <c r="I21" i="35"/>
  <c r="O40" i="42"/>
  <c r="M96" i="42"/>
  <c r="M97" i="42"/>
  <c r="I21" i="36"/>
  <c r="L21" i="38"/>
  <c r="I21" i="28"/>
  <c r="F32" i="38"/>
  <c r="F98" i="36"/>
  <c r="O98" i="23"/>
  <c r="I98" i="20"/>
  <c r="I21" i="20"/>
  <c r="G40" i="16"/>
  <c r="I40" i="16"/>
  <c r="L30" i="30"/>
  <c r="F30" i="36"/>
  <c r="O30" i="37"/>
  <c r="N96" i="24"/>
  <c r="N97" i="24"/>
  <c r="F98" i="16"/>
  <c r="I30" i="27"/>
  <c r="L21" i="22"/>
  <c r="N23" i="30"/>
  <c r="N81" i="30"/>
  <c r="G40" i="37"/>
  <c r="D40" i="26"/>
  <c r="D47" i="42"/>
  <c r="M47" i="42"/>
  <c r="M50" i="42"/>
  <c r="M49" i="42"/>
  <c r="G50" i="42"/>
  <c r="G49" i="42"/>
  <c r="E81" i="42"/>
  <c r="F23" i="42"/>
  <c r="L40" i="42"/>
  <c r="L96" i="42"/>
  <c r="L97" i="42"/>
  <c r="J47" i="42"/>
  <c r="H81" i="42"/>
  <c r="I23" i="42"/>
  <c r="M40" i="16"/>
  <c r="M40" i="28"/>
  <c r="M96" i="28"/>
  <c r="M97" i="28"/>
  <c r="E23" i="38"/>
  <c r="F21" i="38"/>
  <c r="J40" i="38"/>
  <c r="L30" i="38"/>
  <c r="G40" i="38"/>
  <c r="G96" i="38"/>
  <c r="G97" i="38"/>
  <c r="K23" i="38"/>
  <c r="M40" i="38"/>
  <c r="M96" i="38"/>
  <c r="M97" i="38"/>
  <c r="N23" i="38"/>
  <c r="D40" i="38"/>
  <c r="D96" i="38"/>
  <c r="D97" i="38"/>
  <c r="H23" i="38"/>
  <c r="D40" i="37"/>
  <c r="F40" i="37"/>
  <c r="F96" i="37"/>
  <c r="F97" i="37"/>
  <c r="H81" i="37"/>
  <c r="M40" i="37"/>
  <c r="M96" i="37"/>
  <c r="M97" i="37"/>
  <c r="N81" i="37"/>
  <c r="I23" i="37"/>
  <c r="O23" i="37"/>
  <c r="E23" i="37"/>
  <c r="F21" i="37"/>
  <c r="J40" i="37"/>
  <c r="L37" i="37"/>
  <c r="K23" i="37"/>
  <c r="H23" i="36"/>
  <c r="H81" i="36"/>
  <c r="N23" i="36"/>
  <c r="O23" i="36"/>
  <c r="K23" i="36"/>
  <c r="K81" i="36"/>
  <c r="E23" i="36"/>
  <c r="F21" i="36"/>
  <c r="G40" i="36"/>
  <c r="D40" i="36"/>
  <c r="D96" i="36"/>
  <c r="D97" i="36"/>
  <c r="M40" i="36"/>
  <c r="M96" i="36"/>
  <c r="M97" i="36"/>
  <c r="J40" i="36"/>
  <c r="J96" i="36"/>
  <c r="J97" i="36"/>
  <c r="L37" i="36"/>
  <c r="K81" i="35"/>
  <c r="M40" i="35"/>
  <c r="M96" i="35"/>
  <c r="M97" i="35"/>
  <c r="L23" i="35"/>
  <c r="H81" i="35"/>
  <c r="G40" i="35"/>
  <c r="I40" i="35"/>
  <c r="I23" i="35"/>
  <c r="N23" i="35"/>
  <c r="D40" i="35"/>
  <c r="D96" i="35"/>
  <c r="D97" i="35"/>
  <c r="J40" i="35"/>
  <c r="L40" i="35"/>
  <c r="L96" i="35"/>
  <c r="L97" i="35"/>
  <c r="L37" i="35"/>
  <c r="E23" i="35"/>
  <c r="F21" i="35"/>
  <c r="I32" i="34"/>
  <c r="D40" i="34"/>
  <c r="F40" i="34"/>
  <c r="H81" i="34"/>
  <c r="M40" i="34"/>
  <c r="M96" i="34"/>
  <c r="M97" i="34"/>
  <c r="J40" i="34"/>
  <c r="J96" i="34"/>
  <c r="J97" i="34"/>
  <c r="I23" i="34"/>
  <c r="N81" i="34"/>
  <c r="E23" i="34"/>
  <c r="F21" i="34"/>
  <c r="O23" i="34"/>
  <c r="K81" i="34"/>
  <c r="L23" i="34"/>
  <c r="G40" i="34"/>
  <c r="I40" i="34"/>
  <c r="K23" i="33"/>
  <c r="K81" i="33"/>
  <c r="N23" i="33"/>
  <c r="O23" i="33"/>
  <c r="N81" i="33"/>
  <c r="E23" i="33"/>
  <c r="F21" i="33"/>
  <c r="M40" i="33"/>
  <c r="M96" i="33"/>
  <c r="M97" i="33"/>
  <c r="D40" i="33"/>
  <c r="D96" i="33"/>
  <c r="D97" i="33"/>
  <c r="J40" i="33"/>
  <c r="L40" i="33"/>
  <c r="L96" i="33"/>
  <c r="L97" i="33"/>
  <c r="L37" i="33"/>
  <c r="H23" i="33"/>
  <c r="G40" i="33"/>
  <c r="I40" i="33"/>
  <c r="E23" i="32"/>
  <c r="F21" i="32"/>
  <c r="M40" i="32"/>
  <c r="M96" i="32"/>
  <c r="M97" i="32"/>
  <c r="N23" i="32"/>
  <c r="H81" i="32"/>
  <c r="J40" i="32"/>
  <c r="L40" i="32"/>
  <c r="L96" i="32"/>
  <c r="L97" i="32"/>
  <c r="L37" i="32"/>
  <c r="D40" i="32"/>
  <c r="F40" i="32"/>
  <c r="F96" i="32"/>
  <c r="F97" i="32"/>
  <c r="I23" i="32"/>
  <c r="K23" i="32"/>
  <c r="G40" i="32"/>
  <c r="L21" i="31"/>
  <c r="K23" i="31"/>
  <c r="K81" i="31"/>
  <c r="G40" i="31"/>
  <c r="G96" i="31"/>
  <c r="G97" i="31"/>
  <c r="D40" i="31"/>
  <c r="F40" i="31"/>
  <c r="F96" i="31"/>
  <c r="F97" i="31"/>
  <c r="M40" i="31"/>
  <c r="M96" i="31"/>
  <c r="M97" i="31"/>
  <c r="H81" i="31"/>
  <c r="N81" i="31"/>
  <c r="I23" i="31"/>
  <c r="E23" i="31"/>
  <c r="F21" i="31"/>
  <c r="J40" i="31"/>
  <c r="J96" i="31"/>
  <c r="J97" i="31"/>
  <c r="L37" i="31"/>
  <c r="D40" i="30"/>
  <c r="K23" i="30"/>
  <c r="K81" i="30"/>
  <c r="H23" i="30"/>
  <c r="H81" i="30"/>
  <c r="M40" i="30"/>
  <c r="M96" i="30"/>
  <c r="M97" i="30"/>
  <c r="G40" i="30"/>
  <c r="J40" i="30"/>
  <c r="L40" i="30"/>
  <c r="L96" i="30"/>
  <c r="L97" i="30"/>
  <c r="L37" i="30"/>
  <c r="L21" i="29"/>
  <c r="K23" i="29"/>
  <c r="L23" i="29"/>
  <c r="G40" i="29"/>
  <c r="G96" i="29"/>
  <c r="G97" i="29"/>
  <c r="I32" i="29"/>
  <c r="M40" i="29"/>
  <c r="M96" i="29"/>
  <c r="M97" i="29"/>
  <c r="D40" i="29"/>
  <c r="J40" i="29"/>
  <c r="L40" i="29"/>
  <c r="L96" i="29"/>
  <c r="L97" i="29"/>
  <c r="H81" i="29"/>
  <c r="N23" i="29"/>
  <c r="E23" i="29"/>
  <c r="F21" i="29"/>
  <c r="I32" i="28"/>
  <c r="N23" i="28"/>
  <c r="E23" i="28"/>
  <c r="F21" i="28"/>
  <c r="K23" i="28"/>
  <c r="G40" i="28"/>
  <c r="I40" i="28"/>
  <c r="H81" i="28"/>
  <c r="J40" i="28"/>
  <c r="L40" i="28"/>
  <c r="L96" i="28"/>
  <c r="L97" i="28"/>
  <c r="L37" i="28"/>
  <c r="D40" i="28"/>
  <c r="F40" i="28"/>
  <c r="F96" i="28"/>
  <c r="F97" i="28"/>
  <c r="H23" i="27"/>
  <c r="M40" i="27"/>
  <c r="M96" i="27"/>
  <c r="M97" i="27"/>
  <c r="N81" i="27"/>
  <c r="D40" i="27"/>
  <c r="F40" i="27"/>
  <c r="F96" i="27"/>
  <c r="F97" i="27"/>
  <c r="G40" i="27"/>
  <c r="G96" i="27"/>
  <c r="G97" i="27"/>
  <c r="O23" i="27"/>
  <c r="F21" i="27"/>
  <c r="E23" i="27"/>
  <c r="K23" i="27"/>
  <c r="H23" i="26"/>
  <c r="I23" i="26"/>
  <c r="L32" i="26"/>
  <c r="J40" i="26"/>
  <c r="J96" i="26"/>
  <c r="J97" i="26"/>
  <c r="K81" i="26"/>
  <c r="N81" i="26"/>
  <c r="M40" i="26"/>
  <c r="M96" i="26"/>
  <c r="M97" i="26"/>
  <c r="E23" i="26"/>
  <c r="F21" i="26"/>
  <c r="G40" i="26"/>
  <c r="G96" i="26"/>
  <c r="G97" i="26"/>
  <c r="L23" i="26"/>
  <c r="L21" i="25"/>
  <c r="K23" i="25"/>
  <c r="K81" i="25"/>
  <c r="N23" i="25"/>
  <c r="O23" i="25"/>
  <c r="I32" i="25"/>
  <c r="J40" i="25"/>
  <c r="J96" i="25"/>
  <c r="J97" i="25"/>
  <c r="E23" i="25"/>
  <c r="F21" i="25"/>
  <c r="H23" i="25"/>
  <c r="D40" i="25"/>
  <c r="D96" i="25"/>
  <c r="D97" i="25"/>
  <c r="F37" i="25"/>
  <c r="G40" i="25"/>
  <c r="G96" i="25"/>
  <c r="G97" i="25"/>
  <c r="M40" i="25"/>
  <c r="M96" i="25"/>
  <c r="M97" i="25"/>
  <c r="H81" i="24"/>
  <c r="G40" i="24"/>
  <c r="G96" i="24"/>
  <c r="G97" i="24"/>
  <c r="J40" i="24"/>
  <c r="L40" i="24"/>
  <c r="L96" i="24"/>
  <c r="L97" i="24"/>
  <c r="I23" i="24"/>
  <c r="D40" i="24"/>
  <c r="D96" i="24"/>
  <c r="D97" i="24"/>
  <c r="M40" i="24"/>
  <c r="M96" i="24"/>
  <c r="M97" i="24"/>
  <c r="N23" i="24"/>
  <c r="K81" i="24"/>
  <c r="E23" i="24"/>
  <c r="F21" i="24"/>
  <c r="L23" i="24"/>
  <c r="H23" i="23"/>
  <c r="I23" i="23"/>
  <c r="N81" i="23"/>
  <c r="D40" i="23"/>
  <c r="F40" i="23"/>
  <c r="F96" i="23"/>
  <c r="F97" i="23"/>
  <c r="H81" i="23"/>
  <c r="O23" i="23"/>
  <c r="K81" i="23"/>
  <c r="J40" i="23"/>
  <c r="L40" i="23"/>
  <c r="L96" i="23"/>
  <c r="L97" i="23"/>
  <c r="E23" i="23"/>
  <c r="F21" i="23"/>
  <c r="M40" i="23"/>
  <c r="M96" i="23"/>
  <c r="M97" i="23"/>
  <c r="L23" i="23"/>
  <c r="G40" i="23"/>
  <c r="I40" i="23"/>
  <c r="F21" i="22"/>
  <c r="E23" i="22"/>
  <c r="D40" i="22"/>
  <c r="D96" i="22"/>
  <c r="D97" i="22"/>
  <c r="K23" i="22"/>
  <c r="I32" i="22"/>
  <c r="H40" i="22"/>
  <c r="H96" i="22"/>
  <c r="H97" i="22"/>
  <c r="G40" i="22"/>
  <c r="G96" i="22"/>
  <c r="G97" i="22"/>
  <c r="H81" i="22"/>
  <c r="N23" i="22"/>
  <c r="J40" i="22"/>
  <c r="J96" i="22"/>
  <c r="J97" i="22"/>
  <c r="L37" i="22"/>
  <c r="I23" i="22"/>
  <c r="M40" i="22"/>
  <c r="M96" i="22"/>
  <c r="M97" i="22"/>
  <c r="O30" i="21"/>
  <c r="M40" i="21"/>
  <c r="O40" i="21"/>
  <c r="K81" i="21"/>
  <c r="L23" i="21"/>
  <c r="D40" i="21"/>
  <c r="F40" i="21"/>
  <c r="F96" i="21"/>
  <c r="F97" i="21"/>
  <c r="L37" i="21"/>
  <c r="J40" i="21"/>
  <c r="J96" i="21"/>
  <c r="J97" i="21"/>
  <c r="F21" i="21"/>
  <c r="E23" i="21"/>
  <c r="G40" i="21"/>
  <c r="G96" i="21"/>
  <c r="G97" i="21"/>
  <c r="I21" i="21"/>
  <c r="H23" i="21"/>
  <c r="N23" i="21"/>
  <c r="N23" i="20"/>
  <c r="N81" i="20"/>
  <c r="M40" i="20"/>
  <c r="M96" i="20"/>
  <c r="M97" i="20"/>
  <c r="D40" i="20"/>
  <c r="F40" i="20"/>
  <c r="F96" i="20"/>
  <c r="F97" i="20"/>
  <c r="H23" i="20"/>
  <c r="E23" i="20"/>
  <c r="F21" i="20"/>
  <c r="K23" i="20"/>
  <c r="G40" i="20"/>
  <c r="G96" i="20"/>
  <c r="G97" i="20"/>
  <c r="J40" i="20"/>
  <c r="J96" i="20"/>
  <c r="J97" i="20"/>
  <c r="L37" i="20"/>
  <c r="I32" i="19"/>
  <c r="E23" i="19"/>
  <c r="F21" i="19"/>
  <c r="M40" i="19"/>
  <c r="M96" i="19"/>
  <c r="M97" i="19"/>
  <c r="J40" i="19"/>
  <c r="J96" i="19"/>
  <c r="J97" i="19"/>
  <c r="K23" i="19"/>
  <c r="G40" i="19"/>
  <c r="G96" i="19"/>
  <c r="G97" i="19"/>
  <c r="F30" i="19"/>
  <c r="D40" i="19"/>
  <c r="D96" i="19"/>
  <c r="D97" i="19"/>
  <c r="N23" i="19"/>
  <c r="H23" i="19"/>
  <c r="J40" i="18"/>
  <c r="L40" i="18"/>
  <c r="L96" i="18"/>
  <c r="L97" i="18"/>
  <c r="L37" i="18"/>
  <c r="H23" i="18"/>
  <c r="N81" i="18"/>
  <c r="O23" i="18"/>
  <c r="E23" i="18"/>
  <c r="F21" i="18"/>
  <c r="G40" i="18"/>
  <c r="I40" i="18"/>
  <c r="M40" i="18"/>
  <c r="M96" i="18"/>
  <c r="M97" i="18"/>
  <c r="K23" i="18"/>
  <c r="D40" i="18"/>
  <c r="D96" i="18"/>
  <c r="D97" i="18"/>
  <c r="N23" i="16"/>
  <c r="N81" i="16"/>
  <c r="K23" i="16"/>
  <c r="K81" i="16"/>
  <c r="F40" i="16"/>
  <c r="F96" i="16"/>
  <c r="F97" i="16"/>
  <c r="H23" i="16"/>
  <c r="I21" i="16"/>
  <c r="L30" i="16"/>
  <c r="J40" i="16"/>
  <c r="J96" i="16"/>
  <c r="J97" i="16"/>
  <c r="L37" i="16"/>
  <c r="E81" i="16"/>
  <c r="F49" i="16"/>
  <c r="F23" i="16"/>
  <c r="K40" i="16"/>
  <c r="K96" i="16"/>
  <c r="K97" i="16"/>
  <c r="F96" i="34"/>
  <c r="F97" i="34"/>
  <c r="G96" i="33"/>
  <c r="G97" i="33"/>
  <c r="O23" i="20"/>
  <c r="G96" i="35"/>
  <c r="G97" i="35"/>
  <c r="D96" i="31"/>
  <c r="D97" i="31"/>
  <c r="G96" i="23"/>
  <c r="G97" i="23"/>
  <c r="L23" i="25"/>
  <c r="J96" i="32"/>
  <c r="J97" i="32"/>
  <c r="H81" i="26"/>
  <c r="N81" i="36"/>
  <c r="J96" i="27"/>
  <c r="J97" i="27"/>
  <c r="J96" i="35"/>
  <c r="J97" i="35"/>
  <c r="M96" i="21"/>
  <c r="M97" i="21"/>
  <c r="K81" i="29"/>
  <c r="L23" i="36"/>
  <c r="I23" i="36"/>
  <c r="F40" i="26"/>
  <c r="F96" i="26"/>
  <c r="F97" i="26"/>
  <c r="D96" i="26"/>
  <c r="D97" i="26"/>
  <c r="J96" i="23"/>
  <c r="J97" i="23"/>
  <c r="G96" i="34"/>
  <c r="G97" i="34"/>
  <c r="G96" i="16"/>
  <c r="G97" i="16"/>
  <c r="L23" i="16"/>
  <c r="O23" i="30"/>
  <c r="I40" i="37"/>
  <c r="G96" i="37"/>
  <c r="G97" i="37"/>
  <c r="D96" i="37"/>
  <c r="D97" i="37"/>
  <c r="D96" i="21"/>
  <c r="D97" i="21"/>
  <c r="G96" i="18"/>
  <c r="G97" i="18"/>
  <c r="J96" i="30"/>
  <c r="J97" i="30"/>
  <c r="J96" i="18"/>
  <c r="J97" i="18"/>
  <c r="D47" i="26"/>
  <c r="D50" i="26"/>
  <c r="D49" i="26"/>
  <c r="I23" i="30"/>
  <c r="J96" i="29"/>
  <c r="J97" i="29"/>
  <c r="G96" i="28"/>
  <c r="G97" i="28"/>
  <c r="D96" i="28"/>
  <c r="D97" i="28"/>
  <c r="O23" i="16"/>
  <c r="D96" i="34"/>
  <c r="D97" i="34"/>
  <c r="J96" i="28"/>
  <c r="J97" i="28"/>
  <c r="I40" i="36"/>
  <c r="G96" i="36"/>
  <c r="G97" i="36"/>
  <c r="I40" i="32"/>
  <c r="G96" i="32"/>
  <c r="G97" i="32"/>
  <c r="O40" i="16"/>
  <c r="M96" i="16"/>
  <c r="M97" i="16"/>
  <c r="D96" i="23"/>
  <c r="D97" i="23"/>
  <c r="L40" i="37"/>
  <c r="L96" i="37"/>
  <c r="L97" i="37"/>
  <c r="J96" i="37"/>
  <c r="J97" i="37"/>
  <c r="L40" i="38"/>
  <c r="L96" i="38"/>
  <c r="L97" i="38"/>
  <c r="J96" i="38"/>
  <c r="J97" i="38"/>
  <c r="D96" i="27"/>
  <c r="D97" i="27"/>
  <c r="D96" i="20"/>
  <c r="D97" i="20"/>
  <c r="G47" i="16"/>
  <c r="G50" i="16"/>
  <c r="G49" i="16"/>
  <c r="I40" i="30"/>
  <c r="G96" i="30"/>
  <c r="G97" i="30"/>
  <c r="D96" i="32"/>
  <c r="D97" i="32"/>
  <c r="F40" i="29"/>
  <c r="F96" i="29"/>
  <c r="F97" i="29"/>
  <c r="D96" i="29"/>
  <c r="D97" i="29"/>
  <c r="J96" i="33"/>
  <c r="J97" i="33"/>
  <c r="N81" i="25"/>
  <c r="J96" i="24"/>
  <c r="J97" i="24"/>
  <c r="F40" i="30"/>
  <c r="F96" i="30"/>
  <c r="F97" i="30"/>
  <c r="D96" i="30"/>
  <c r="D97" i="30"/>
  <c r="L23" i="30"/>
  <c r="L23" i="31"/>
  <c r="M47" i="16"/>
  <c r="M50" i="16"/>
  <c r="M49" i="16"/>
  <c r="G47" i="37"/>
  <c r="D50" i="42"/>
  <c r="I49" i="42"/>
  <c r="O45" i="42"/>
  <c r="O96" i="42"/>
  <c r="O97" i="42"/>
  <c r="N47" i="42"/>
  <c r="O49" i="42"/>
  <c r="J50" i="42"/>
  <c r="F45" i="42"/>
  <c r="E47" i="42"/>
  <c r="I45" i="42"/>
  <c r="I96" i="42"/>
  <c r="I97" i="42"/>
  <c r="H47" i="42"/>
  <c r="D47" i="21"/>
  <c r="D50" i="21"/>
  <c r="D49" i="21"/>
  <c r="D47" i="31"/>
  <c r="D47" i="34"/>
  <c r="G47" i="35"/>
  <c r="H45" i="35"/>
  <c r="J47" i="24"/>
  <c r="O40" i="28"/>
  <c r="M47" i="28"/>
  <c r="J47" i="18"/>
  <c r="J50" i="18"/>
  <c r="J47" i="38"/>
  <c r="K45" i="38"/>
  <c r="H81" i="38"/>
  <c r="I23" i="38"/>
  <c r="F40" i="38"/>
  <c r="F96" i="38"/>
  <c r="F97" i="38"/>
  <c r="D47" i="38"/>
  <c r="N81" i="38"/>
  <c r="O23" i="38"/>
  <c r="O40" i="38"/>
  <c r="M47" i="38"/>
  <c r="K81" i="38"/>
  <c r="L23" i="38"/>
  <c r="I40" i="38"/>
  <c r="G47" i="38"/>
  <c r="E81" i="38"/>
  <c r="F23" i="38"/>
  <c r="D47" i="37"/>
  <c r="D50" i="37"/>
  <c r="D49" i="37"/>
  <c r="E81" i="37"/>
  <c r="F23" i="37"/>
  <c r="J47" i="37"/>
  <c r="O40" i="37"/>
  <c r="M47" i="37"/>
  <c r="G50" i="37"/>
  <c r="G49" i="37"/>
  <c r="K81" i="37"/>
  <c r="L23" i="37"/>
  <c r="O40" i="36"/>
  <c r="M47" i="36"/>
  <c r="F40" i="36"/>
  <c r="F96" i="36"/>
  <c r="F97" i="36"/>
  <c r="D47" i="36"/>
  <c r="L40" i="36"/>
  <c r="L96" i="36"/>
  <c r="L97" i="36"/>
  <c r="J47" i="36"/>
  <c r="E81" i="36"/>
  <c r="F23" i="36"/>
  <c r="G47" i="36"/>
  <c r="E81" i="35"/>
  <c r="F23" i="35"/>
  <c r="N81" i="35"/>
  <c r="O23" i="35"/>
  <c r="F40" i="35"/>
  <c r="F96" i="35"/>
  <c r="F97" i="35"/>
  <c r="D47" i="35"/>
  <c r="J47" i="35"/>
  <c r="O40" i="35"/>
  <c r="M47" i="35"/>
  <c r="G47" i="34"/>
  <c r="E81" i="34"/>
  <c r="F23" i="34"/>
  <c r="L40" i="34"/>
  <c r="L96" i="34"/>
  <c r="L97" i="34"/>
  <c r="J47" i="34"/>
  <c r="O40" i="34"/>
  <c r="M47" i="34"/>
  <c r="L23" i="33"/>
  <c r="F40" i="33"/>
  <c r="F96" i="33"/>
  <c r="F97" i="33"/>
  <c r="D47" i="33"/>
  <c r="J47" i="33"/>
  <c r="O40" i="33"/>
  <c r="M47" i="33"/>
  <c r="E81" i="33"/>
  <c r="F23" i="33"/>
  <c r="G47" i="33"/>
  <c r="H81" i="33"/>
  <c r="I23" i="33"/>
  <c r="J47" i="32"/>
  <c r="G47" i="32"/>
  <c r="G50" i="32"/>
  <c r="G49" i="32"/>
  <c r="K81" i="32"/>
  <c r="L23" i="32"/>
  <c r="N81" i="32"/>
  <c r="O23" i="32"/>
  <c r="O40" i="32"/>
  <c r="M47" i="32"/>
  <c r="D47" i="32"/>
  <c r="E81" i="32"/>
  <c r="F23" i="32"/>
  <c r="E81" i="31"/>
  <c r="F23" i="31"/>
  <c r="O40" i="31"/>
  <c r="M47" i="31"/>
  <c r="I40" i="31"/>
  <c r="G47" i="31"/>
  <c r="L40" i="31"/>
  <c r="L96" i="31"/>
  <c r="L97" i="31"/>
  <c r="J47" i="31"/>
  <c r="D47" i="30"/>
  <c r="J47" i="30"/>
  <c r="O40" i="30"/>
  <c r="M47" i="30"/>
  <c r="G47" i="30"/>
  <c r="N81" i="29"/>
  <c r="O23" i="29"/>
  <c r="O40" i="29"/>
  <c r="M47" i="29"/>
  <c r="D47" i="29"/>
  <c r="J47" i="29"/>
  <c r="I40" i="29"/>
  <c r="G47" i="29"/>
  <c r="E81" i="29"/>
  <c r="F23" i="29"/>
  <c r="J47" i="28"/>
  <c r="K45" i="28"/>
  <c r="D47" i="28"/>
  <c r="E45" i="28"/>
  <c r="E96" i="28"/>
  <c r="K81" i="28"/>
  <c r="L23" i="28"/>
  <c r="G47" i="28"/>
  <c r="E81" i="28"/>
  <c r="F23" i="28"/>
  <c r="N81" i="28"/>
  <c r="O23" i="28"/>
  <c r="J47" i="27"/>
  <c r="K45" i="27"/>
  <c r="K81" i="27"/>
  <c r="L23" i="27"/>
  <c r="E81" i="27"/>
  <c r="F23" i="27"/>
  <c r="I40" i="27"/>
  <c r="G47" i="27"/>
  <c r="O40" i="27"/>
  <c r="M47" i="27"/>
  <c r="D47" i="27"/>
  <c r="H81" i="27"/>
  <c r="I23" i="27"/>
  <c r="L40" i="26"/>
  <c r="L96" i="26"/>
  <c r="L97" i="26"/>
  <c r="J47" i="26"/>
  <c r="I40" i="26"/>
  <c r="G47" i="26"/>
  <c r="E81" i="26"/>
  <c r="F23" i="26"/>
  <c r="O40" i="26"/>
  <c r="M47" i="26"/>
  <c r="I40" i="25"/>
  <c r="G47" i="25"/>
  <c r="O40" i="25"/>
  <c r="M47" i="25"/>
  <c r="F40" i="25"/>
  <c r="F96" i="25"/>
  <c r="F97" i="25"/>
  <c r="D47" i="25"/>
  <c r="H81" i="25"/>
  <c r="I23" i="25"/>
  <c r="E81" i="25"/>
  <c r="F23" i="25"/>
  <c r="L40" i="25"/>
  <c r="L96" i="25"/>
  <c r="L97" i="25"/>
  <c r="J47" i="25"/>
  <c r="E81" i="24"/>
  <c r="F23" i="24"/>
  <c r="N81" i="24"/>
  <c r="O23" i="24"/>
  <c r="O40" i="24"/>
  <c r="M47" i="24"/>
  <c r="F40" i="24"/>
  <c r="F96" i="24"/>
  <c r="F97" i="24"/>
  <c r="D47" i="24"/>
  <c r="I40" i="24"/>
  <c r="G47" i="24"/>
  <c r="D47" i="23"/>
  <c r="O40" i="23"/>
  <c r="M47" i="23"/>
  <c r="E81" i="23"/>
  <c r="F23" i="23"/>
  <c r="G47" i="23"/>
  <c r="J47" i="23"/>
  <c r="O40" i="22"/>
  <c r="M47" i="22"/>
  <c r="L40" i="22"/>
  <c r="L96" i="22"/>
  <c r="L97" i="22"/>
  <c r="J47" i="22"/>
  <c r="N81" i="22"/>
  <c r="O23" i="22"/>
  <c r="I40" i="22"/>
  <c r="G47" i="22"/>
  <c r="K81" i="22"/>
  <c r="L23" i="22"/>
  <c r="F40" i="22"/>
  <c r="F96" i="22"/>
  <c r="F97" i="22"/>
  <c r="D47" i="22"/>
  <c r="E81" i="22"/>
  <c r="F23" i="22"/>
  <c r="H81" i="21"/>
  <c r="I23" i="21"/>
  <c r="I40" i="21"/>
  <c r="G47" i="21"/>
  <c r="E81" i="21"/>
  <c r="F23" i="21"/>
  <c r="L40" i="21"/>
  <c r="L96" i="21"/>
  <c r="L97" i="21"/>
  <c r="J47" i="21"/>
  <c r="M47" i="21"/>
  <c r="N81" i="21"/>
  <c r="O23" i="21"/>
  <c r="D47" i="20"/>
  <c r="D50" i="20"/>
  <c r="D49" i="20"/>
  <c r="L40" i="20"/>
  <c r="L96" i="20"/>
  <c r="L97" i="20"/>
  <c r="J47" i="20"/>
  <c r="K81" i="20"/>
  <c r="L23" i="20"/>
  <c r="I40" i="20"/>
  <c r="G47" i="20"/>
  <c r="E45" i="20"/>
  <c r="E81" i="20"/>
  <c r="F23" i="20"/>
  <c r="H81" i="20"/>
  <c r="I23" i="20"/>
  <c r="O40" i="20"/>
  <c r="M47" i="20"/>
  <c r="H81" i="19"/>
  <c r="I23" i="19"/>
  <c r="N81" i="19"/>
  <c r="O23" i="19"/>
  <c r="F40" i="19"/>
  <c r="F96" i="19"/>
  <c r="F97" i="19"/>
  <c r="D47" i="19"/>
  <c r="I40" i="19"/>
  <c r="G47" i="19"/>
  <c r="K81" i="19"/>
  <c r="L23" i="19"/>
  <c r="L40" i="19"/>
  <c r="L96" i="19"/>
  <c r="L97" i="19"/>
  <c r="J47" i="19"/>
  <c r="O40" i="19"/>
  <c r="M47" i="19"/>
  <c r="E81" i="19"/>
  <c r="F23" i="19"/>
  <c r="G47" i="18"/>
  <c r="F40" i="18"/>
  <c r="F96" i="18"/>
  <c r="F97" i="18"/>
  <c r="D47" i="18"/>
  <c r="K81" i="18"/>
  <c r="L23" i="18"/>
  <c r="O40" i="18"/>
  <c r="M47" i="18"/>
  <c r="E81" i="18"/>
  <c r="F23" i="18"/>
  <c r="H81" i="18"/>
  <c r="I23" i="18"/>
  <c r="L40" i="16"/>
  <c r="L96" i="16"/>
  <c r="L97" i="16"/>
  <c r="F45" i="16"/>
  <c r="E47" i="16"/>
  <c r="J47" i="16"/>
  <c r="H81" i="16"/>
  <c r="I23" i="16"/>
  <c r="D199" i="15" a="1"/>
  <c r="E214" i="15" a="1"/>
  <c r="F207" i="15" a="1"/>
  <c r="F217" i="15" a="1"/>
  <c r="D207" i="15" a="1"/>
  <c r="F206" i="15" a="1"/>
  <c r="F217" i="15"/>
  <c r="F207" i="15"/>
  <c r="D199" i="15"/>
  <c r="E214" i="15"/>
  <c r="F206" i="15"/>
  <c r="K96" i="38"/>
  <c r="K97" i="38"/>
  <c r="K96" i="28"/>
  <c r="K97" i="28"/>
  <c r="E96" i="20"/>
  <c r="E97" i="20"/>
  <c r="E97" i="28"/>
  <c r="K96" i="27"/>
  <c r="K97" i="27"/>
  <c r="D49" i="42"/>
  <c r="F49" i="42"/>
  <c r="D207" i="15"/>
  <c r="F45" i="21"/>
  <c r="D50" i="31"/>
  <c r="D49" i="31"/>
  <c r="F49" i="31"/>
  <c r="J50" i="24"/>
  <c r="J49" i="24"/>
  <c r="L49" i="24"/>
  <c r="E50" i="42"/>
  <c r="E82" i="42"/>
  <c r="E83" i="42"/>
  <c r="F47" i="42"/>
  <c r="F50" i="42"/>
  <c r="F72" i="42"/>
  <c r="J49" i="42"/>
  <c r="L49" i="42"/>
  <c r="L45" i="42"/>
  <c r="K47" i="42"/>
  <c r="N50" i="42"/>
  <c r="N82" i="42"/>
  <c r="N83" i="42"/>
  <c r="O47" i="42"/>
  <c r="O50" i="42"/>
  <c r="O72" i="42"/>
  <c r="H50" i="42"/>
  <c r="H82" i="42"/>
  <c r="H83" i="42"/>
  <c r="I47" i="42"/>
  <c r="I50" i="42"/>
  <c r="I72" i="42"/>
  <c r="G50" i="34"/>
  <c r="G49" i="34"/>
  <c r="I49" i="34"/>
  <c r="M50" i="28"/>
  <c r="M49" i="28"/>
  <c r="O49" i="28"/>
  <c r="N45" i="28"/>
  <c r="D50" i="34"/>
  <c r="D50" i="23"/>
  <c r="D49" i="23"/>
  <c r="F49" i="23"/>
  <c r="J50" i="27"/>
  <c r="J49" i="27"/>
  <c r="L49" i="27"/>
  <c r="J50" i="38"/>
  <c r="J49" i="38"/>
  <c r="L49" i="38"/>
  <c r="G50" i="35"/>
  <c r="G49" i="35"/>
  <c r="I49" i="35"/>
  <c r="N45" i="38"/>
  <c r="M50" i="38"/>
  <c r="M49" i="38"/>
  <c r="H45" i="38"/>
  <c r="G50" i="38"/>
  <c r="G49" i="38"/>
  <c r="E45" i="38"/>
  <c r="D50" i="38"/>
  <c r="D49" i="38"/>
  <c r="L45" i="38"/>
  <c r="K47" i="38"/>
  <c r="I45" i="37"/>
  <c r="I96" i="37"/>
  <c r="I97" i="37"/>
  <c r="H47" i="37"/>
  <c r="M50" i="37"/>
  <c r="M49" i="37"/>
  <c r="F49" i="37"/>
  <c r="F45" i="37"/>
  <c r="E47" i="37"/>
  <c r="I49" i="37"/>
  <c r="J50" i="37"/>
  <c r="H45" i="36"/>
  <c r="G50" i="36"/>
  <c r="G49" i="36"/>
  <c r="K45" i="36"/>
  <c r="J50" i="36"/>
  <c r="E45" i="36"/>
  <c r="E96" i="36"/>
  <c r="E97" i="36"/>
  <c r="D50" i="36"/>
  <c r="D49" i="36"/>
  <c r="N45" i="36"/>
  <c r="M50" i="36"/>
  <c r="M49" i="36"/>
  <c r="N45" i="35"/>
  <c r="M50" i="35"/>
  <c r="M49" i="35"/>
  <c r="I45" i="35"/>
  <c r="I96" i="35"/>
  <c r="I97" i="35"/>
  <c r="H47" i="35"/>
  <c r="K45" i="35"/>
  <c r="J50" i="35"/>
  <c r="E45" i="35"/>
  <c r="E96" i="35"/>
  <c r="E97" i="35"/>
  <c r="D50" i="35"/>
  <c r="D49" i="35"/>
  <c r="J50" i="34"/>
  <c r="I45" i="34"/>
  <c r="I96" i="34"/>
  <c r="I97" i="34"/>
  <c r="H47" i="34"/>
  <c r="F45" i="34"/>
  <c r="E47" i="34"/>
  <c r="M50" i="34"/>
  <c r="M49" i="34"/>
  <c r="G50" i="33"/>
  <c r="G49" i="33"/>
  <c r="M50" i="33"/>
  <c r="M49" i="33"/>
  <c r="J50" i="33"/>
  <c r="D50" i="33"/>
  <c r="D49" i="33"/>
  <c r="J50" i="32"/>
  <c r="J49" i="32"/>
  <c r="L49" i="32"/>
  <c r="L45" i="32"/>
  <c r="K47" i="32"/>
  <c r="M50" i="32"/>
  <c r="M49" i="32"/>
  <c r="I49" i="32"/>
  <c r="D50" i="32"/>
  <c r="D49" i="32"/>
  <c r="I45" i="32"/>
  <c r="I96" i="32"/>
  <c r="I97" i="32"/>
  <c r="H47" i="32"/>
  <c r="G50" i="31"/>
  <c r="G49" i="31"/>
  <c r="M50" i="31"/>
  <c r="M49" i="31"/>
  <c r="F45" i="31"/>
  <c r="E47" i="31"/>
  <c r="J50" i="31"/>
  <c r="D50" i="30"/>
  <c r="M50" i="30"/>
  <c r="M49" i="30"/>
  <c r="G50" i="30"/>
  <c r="G49" i="30"/>
  <c r="F45" i="30"/>
  <c r="E47" i="30"/>
  <c r="J50" i="30"/>
  <c r="H45" i="29"/>
  <c r="G50" i="29"/>
  <c r="G49" i="29"/>
  <c r="K45" i="29"/>
  <c r="J50" i="29"/>
  <c r="E45" i="29"/>
  <c r="D50" i="29"/>
  <c r="D49" i="29"/>
  <c r="N45" i="29"/>
  <c r="M50" i="29"/>
  <c r="M49" i="29"/>
  <c r="D50" i="28"/>
  <c r="J50" i="28"/>
  <c r="J49" i="28"/>
  <c r="L49" i="28"/>
  <c r="H45" i="28"/>
  <c r="G50" i="28"/>
  <c r="G49" i="28"/>
  <c r="F45" i="28"/>
  <c r="E47" i="28"/>
  <c r="L45" i="28"/>
  <c r="K47" i="28"/>
  <c r="N45" i="27"/>
  <c r="M50" i="27"/>
  <c r="M49" i="27"/>
  <c r="E45" i="27"/>
  <c r="D50" i="27"/>
  <c r="D49" i="27"/>
  <c r="H45" i="27"/>
  <c r="G50" i="27"/>
  <c r="G49" i="27"/>
  <c r="L45" i="27"/>
  <c r="K47" i="27"/>
  <c r="N45" i="26"/>
  <c r="M50" i="26"/>
  <c r="M49" i="26"/>
  <c r="F49" i="26"/>
  <c r="F45" i="26"/>
  <c r="E47" i="26"/>
  <c r="H45" i="26"/>
  <c r="G50" i="26"/>
  <c r="G49" i="26"/>
  <c r="K45" i="26"/>
  <c r="J50" i="26"/>
  <c r="J50" i="25"/>
  <c r="D50" i="25"/>
  <c r="D49" i="25"/>
  <c r="M50" i="25"/>
  <c r="M49" i="25"/>
  <c r="G50" i="25"/>
  <c r="G49" i="25"/>
  <c r="D50" i="24"/>
  <c r="D49" i="24"/>
  <c r="M50" i="24"/>
  <c r="M49" i="24"/>
  <c r="L45" i="24"/>
  <c r="K47" i="24"/>
  <c r="G50" i="24"/>
  <c r="G49" i="24"/>
  <c r="J50" i="23"/>
  <c r="G50" i="23"/>
  <c r="G49" i="23"/>
  <c r="F45" i="23"/>
  <c r="E47" i="23"/>
  <c r="M50" i="23"/>
  <c r="M49" i="23"/>
  <c r="H45" i="22"/>
  <c r="G50" i="22"/>
  <c r="G49" i="22"/>
  <c r="K45" i="22"/>
  <c r="J50" i="22"/>
  <c r="N45" i="22"/>
  <c r="M50" i="22"/>
  <c r="M49" i="22"/>
  <c r="E45" i="22"/>
  <c r="E96" i="22"/>
  <c r="E97" i="22"/>
  <c r="D50" i="22"/>
  <c r="D49" i="22"/>
  <c r="J50" i="21"/>
  <c r="F49" i="21"/>
  <c r="E47" i="21"/>
  <c r="G50" i="21"/>
  <c r="G49" i="21"/>
  <c r="M50" i="21"/>
  <c r="M49" i="21"/>
  <c r="F49" i="20"/>
  <c r="F45" i="20"/>
  <c r="E47" i="20"/>
  <c r="N45" i="20"/>
  <c r="M50" i="20"/>
  <c r="M49" i="20"/>
  <c r="H45" i="20"/>
  <c r="G50" i="20"/>
  <c r="G49" i="20"/>
  <c r="K45" i="20"/>
  <c r="J50" i="20"/>
  <c r="J50" i="19"/>
  <c r="G50" i="19"/>
  <c r="G49" i="19"/>
  <c r="D50" i="19"/>
  <c r="D49" i="19"/>
  <c r="M50" i="19"/>
  <c r="M49" i="19"/>
  <c r="G50" i="18"/>
  <c r="G49" i="18"/>
  <c r="I49" i="18"/>
  <c r="M50" i="18"/>
  <c r="M49" i="18"/>
  <c r="J49" i="18"/>
  <c r="L49" i="18"/>
  <c r="L45" i="18"/>
  <c r="K47" i="18"/>
  <c r="I45" i="18"/>
  <c r="I96" i="18"/>
  <c r="I97" i="18"/>
  <c r="H47" i="18"/>
  <c r="D50" i="18"/>
  <c r="D49" i="18"/>
  <c r="J50" i="16"/>
  <c r="I49" i="16"/>
  <c r="I45" i="16"/>
  <c r="I96" i="16"/>
  <c r="I97" i="16"/>
  <c r="H47" i="16"/>
  <c r="O49" i="16"/>
  <c r="O45" i="16"/>
  <c r="O96" i="16"/>
  <c r="O97" i="16"/>
  <c r="N47" i="16"/>
  <c r="E50" i="16"/>
  <c r="E82" i="16"/>
  <c r="E83" i="16"/>
  <c r="F47" i="16"/>
  <c r="F50" i="16"/>
  <c r="F72" i="16"/>
  <c r="D72" i="15" a="1"/>
  <c r="D218" i="15" a="1"/>
  <c r="E207" i="15" a="1"/>
  <c r="F215" i="15" a="1"/>
  <c r="E217" i="15" a="1"/>
  <c r="E208" i="15" a="1"/>
  <c r="D215" i="15" a="1"/>
  <c r="E206" i="15" a="1"/>
  <c r="F199" i="15" a="1"/>
  <c r="D214" i="15" a="1"/>
  <c r="E201" i="15" a="1"/>
  <c r="D208" i="15" a="1"/>
  <c r="E72" i="15" a="1"/>
  <c r="E205" i="15" a="1"/>
  <c r="D217" i="15" a="1"/>
  <c r="D49" i="15" a="1"/>
  <c r="F218" i="15" a="1"/>
  <c r="D206" i="15" a="1"/>
  <c r="F201" i="15" a="1"/>
  <c r="E215" i="15" a="1"/>
  <c r="F205" i="15" a="1"/>
  <c r="F208" i="15" a="1"/>
  <c r="G72" i="15" a="1"/>
  <c r="E199" i="15" a="1"/>
  <c r="F214" i="15" a="1"/>
  <c r="E218" i="15" a="1"/>
  <c r="D201" i="15" a="1"/>
  <c r="F215" i="15"/>
  <c r="E217" i="15"/>
  <c r="E206" i="15"/>
  <c r="D208" i="15"/>
  <c r="E215" i="15"/>
  <c r="F218" i="15"/>
  <c r="E72" i="15"/>
  <c r="F201" i="15"/>
  <c r="E208" i="15"/>
  <c r="F199" i="15"/>
  <c r="E199" i="15"/>
  <c r="E201" i="15"/>
  <c r="F205" i="15"/>
  <c r="F214" i="15"/>
  <c r="G72" i="15"/>
  <c r="D206" i="15"/>
  <c r="F208" i="15"/>
  <c r="E205" i="15"/>
  <c r="E218" i="15"/>
  <c r="D218" i="15"/>
  <c r="E207" i="15"/>
  <c r="D72" i="15"/>
  <c r="D49" i="15"/>
  <c r="D217" i="15"/>
  <c r="K96" i="36"/>
  <c r="K97" i="36"/>
  <c r="E96" i="29"/>
  <c r="E97" i="29"/>
  <c r="K96" i="22"/>
  <c r="K97" i="22"/>
  <c r="K96" i="20"/>
  <c r="K97" i="20"/>
  <c r="K96" i="26"/>
  <c r="K97" i="26"/>
  <c r="K96" i="35"/>
  <c r="K97" i="35"/>
  <c r="E96" i="27"/>
  <c r="E97" i="27"/>
  <c r="K96" i="29"/>
  <c r="K97" i="29"/>
  <c r="F78" i="16"/>
  <c r="F76" i="16"/>
  <c r="E96" i="38"/>
  <c r="E97" i="38"/>
  <c r="F76" i="42"/>
  <c r="F78" i="42"/>
  <c r="D215" i="15"/>
  <c r="D214" i="15"/>
  <c r="D49" i="34"/>
  <c r="F49" i="34"/>
  <c r="D49" i="30"/>
  <c r="F49" i="30"/>
  <c r="D49" i="28"/>
  <c r="F49" i="28"/>
  <c r="D201" i="15"/>
  <c r="K50" i="42"/>
  <c r="K82" i="42"/>
  <c r="K83" i="42"/>
  <c r="L47" i="42"/>
  <c r="L50" i="42"/>
  <c r="L72" i="42"/>
  <c r="O45" i="28"/>
  <c r="O96" i="28"/>
  <c r="O97" i="28"/>
  <c r="N47" i="28"/>
  <c r="L47" i="38"/>
  <c r="L50" i="38"/>
  <c r="L72" i="38"/>
  <c r="K50" i="38"/>
  <c r="K82" i="38"/>
  <c r="K83" i="38"/>
  <c r="F45" i="38"/>
  <c r="E47" i="38"/>
  <c r="I49" i="38"/>
  <c r="F49" i="38"/>
  <c r="I45" i="38"/>
  <c r="I96" i="38"/>
  <c r="I97" i="38"/>
  <c r="H47" i="38"/>
  <c r="O49" i="38"/>
  <c r="O45" i="38"/>
  <c r="O96" i="38"/>
  <c r="O97" i="38"/>
  <c r="N47" i="38"/>
  <c r="J49" i="37"/>
  <c r="L49" i="37"/>
  <c r="L45" i="37"/>
  <c r="K47" i="37"/>
  <c r="E50" i="37"/>
  <c r="E82" i="37"/>
  <c r="E83" i="37"/>
  <c r="F47" i="37"/>
  <c r="F50" i="37"/>
  <c r="F72" i="37"/>
  <c r="F76" i="37"/>
  <c r="O49" i="37"/>
  <c r="O45" i="37"/>
  <c r="O96" i="37"/>
  <c r="O97" i="37"/>
  <c r="N47" i="37"/>
  <c r="H50" i="37"/>
  <c r="H82" i="37"/>
  <c r="H83" i="37"/>
  <c r="I47" i="37"/>
  <c r="I50" i="37"/>
  <c r="I72" i="37"/>
  <c r="O49" i="36"/>
  <c r="O45" i="36"/>
  <c r="O96" i="36"/>
  <c r="O97" i="36"/>
  <c r="N47" i="36"/>
  <c r="F49" i="36"/>
  <c r="F45" i="36"/>
  <c r="E47" i="36"/>
  <c r="J49" i="36"/>
  <c r="L49" i="36"/>
  <c r="L45" i="36"/>
  <c r="K47" i="36"/>
  <c r="I49" i="36"/>
  <c r="I45" i="36"/>
  <c r="I96" i="36"/>
  <c r="I97" i="36"/>
  <c r="H47" i="36"/>
  <c r="F49" i="35"/>
  <c r="F45" i="35"/>
  <c r="E47" i="35"/>
  <c r="J49" i="35"/>
  <c r="L49" i="35"/>
  <c r="L45" i="35"/>
  <c r="K47" i="35"/>
  <c r="H50" i="35"/>
  <c r="H82" i="35"/>
  <c r="H83" i="35"/>
  <c r="I47" i="35"/>
  <c r="I50" i="35"/>
  <c r="I72" i="35"/>
  <c r="O49" i="35"/>
  <c r="O45" i="35"/>
  <c r="O96" i="35"/>
  <c r="O97" i="35"/>
  <c r="N47" i="35"/>
  <c r="O45" i="34"/>
  <c r="O96" i="34"/>
  <c r="O97" i="34"/>
  <c r="N47" i="34"/>
  <c r="F47" i="34"/>
  <c r="F50" i="34"/>
  <c r="F72" i="34"/>
  <c r="E50" i="34"/>
  <c r="E82" i="34"/>
  <c r="E83" i="34"/>
  <c r="O49" i="34"/>
  <c r="H50" i="34"/>
  <c r="H82" i="34"/>
  <c r="H83" i="34"/>
  <c r="I47" i="34"/>
  <c r="I50" i="34"/>
  <c r="I72" i="34"/>
  <c r="J49" i="34"/>
  <c r="L49" i="34"/>
  <c r="L45" i="34"/>
  <c r="K47" i="34"/>
  <c r="F45" i="33"/>
  <c r="E47" i="33"/>
  <c r="J49" i="33"/>
  <c r="L49" i="33"/>
  <c r="L45" i="33"/>
  <c r="K47" i="33"/>
  <c r="O49" i="33"/>
  <c r="O45" i="33"/>
  <c r="O96" i="33"/>
  <c r="O97" i="33"/>
  <c r="N47" i="33"/>
  <c r="F49" i="33"/>
  <c r="I49" i="33"/>
  <c r="I45" i="33"/>
  <c r="I96" i="33"/>
  <c r="I97" i="33"/>
  <c r="H47" i="33"/>
  <c r="O49" i="32"/>
  <c r="O45" i="32"/>
  <c r="O96" i="32"/>
  <c r="O97" i="32"/>
  <c r="N47" i="32"/>
  <c r="H50" i="32"/>
  <c r="H82" i="32"/>
  <c r="H83" i="32"/>
  <c r="I47" i="32"/>
  <c r="I50" i="32"/>
  <c r="I72" i="32"/>
  <c r="K50" i="32"/>
  <c r="K82" i="32"/>
  <c r="K83" i="32"/>
  <c r="L47" i="32"/>
  <c r="L50" i="32"/>
  <c r="L72" i="32"/>
  <c r="F49" i="32"/>
  <c r="F45" i="32"/>
  <c r="E47" i="32"/>
  <c r="J49" i="31"/>
  <c r="L49" i="31"/>
  <c r="L45" i="31"/>
  <c r="K47" i="31"/>
  <c r="E50" i="31"/>
  <c r="E82" i="31"/>
  <c r="E83" i="31"/>
  <c r="F47" i="31"/>
  <c r="F50" i="31"/>
  <c r="F72" i="31"/>
  <c r="F76" i="31"/>
  <c r="O49" i="31"/>
  <c r="O45" i="31"/>
  <c r="O96" i="31"/>
  <c r="O97" i="31"/>
  <c r="N47" i="31"/>
  <c r="I49" i="31"/>
  <c r="I45" i="31"/>
  <c r="I96" i="31"/>
  <c r="I97" i="31"/>
  <c r="H47" i="31"/>
  <c r="J49" i="30"/>
  <c r="L49" i="30"/>
  <c r="L45" i="30"/>
  <c r="K47" i="30"/>
  <c r="F47" i="30"/>
  <c r="I49" i="30"/>
  <c r="I45" i="30"/>
  <c r="I96" i="30"/>
  <c r="I97" i="30"/>
  <c r="H47" i="30"/>
  <c r="O49" i="30"/>
  <c r="O45" i="30"/>
  <c r="O96" i="30"/>
  <c r="O97" i="30"/>
  <c r="N47" i="30"/>
  <c r="O49" i="29"/>
  <c r="O45" i="29"/>
  <c r="O96" i="29"/>
  <c r="O97" i="29"/>
  <c r="N47" i="29"/>
  <c r="F49" i="29"/>
  <c r="F45" i="29"/>
  <c r="E47" i="29"/>
  <c r="J49" i="29"/>
  <c r="L49" i="29"/>
  <c r="L45" i="29"/>
  <c r="K47" i="29"/>
  <c r="I49" i="29"/>
  <c r="I45" i="29"/>
  <c r="I96" i="29"/>
  <c r="I97" i="29"/>
  <c r="H47" i="29"/>
  <c r="F47" i="28"/>
  <c r="F50" i="28"/>
  <c r="F72" i="28"/>
  <c r="E50" i="28"/>
  <c r="E82" i="28"/>
  <c r="E83" i="28"/>
  <c r="I49" i="28"/>
  <c r="I45" i="28"/>
  <c r="I96" i="28"/>
  <c r="I97" i="28"/>
  <c r="H47" i="28"/>
  <c r="L47" i="28"/>
  <c r="L50" i="28"/>
  <c r="L72" i="28"/>
  <c r="K50" i="28"/>
  <c r="K82" i="28"/>
  <c r="K83" i="28"/>
  <c r="K50" i="27"/>
  <c r="K82" i="27"/>
  <c r="K83" i="27"/>
  <c r="L47" i="27"/>
  <c r="L50" i="27"/>
  <c r="L72" i="27"/>
  <c r="I49" i="27"/>
  <c r="I45" i="27"/>
  <c r="I96" i="27"/>
  <c r="I97" i="27"/>
  <c r="H47" i="27"/>
  <c r="F49" i="27"/>
  <c r="F45" i="27"/>
  <c r="E47" i="27"/>
  <c r="O49" i="27"/>
  <c r="O45" i="27"/>
  <c r="O96" i="27"/>
  <c r="O97" i="27"/>
  <c r="N47" i="27"/>
  <c r="J49" i="26"/>
  <c r="L49" i="26"/>
  <c r="L45" i="26"/>
  <c r="K47" i="26"/>
  <c r="I49" i="26"/>
  <c r="I45" i="26"/>
  <c r="I96" i="26"/>
  <c r="I97" i="26"/>
  <c r="H47" i="26"/>
  <c r="F47" i="26"/>
  <c r="F50" i="26"/>
  <c r="F72" i="26"/>
  <c r="F76" i="26"/>
  <c r="F79" i="26"/>
  <c r="D81" i="26"/>
  <c r="D82" i="26"/>
  <c r="E50" i="26"/>
  <c r="E82" i="26"/>
  <c r="E83" i="26"/>
  <c r="O49" i="26"/>
  <c r="O45" i="26"/>
  <c r="O96" i="26"/>
  <c r="O97" i="26"/>
  <c r="N47" i="26"/>
  <c r="I49" i="25"/>
  <c r="I45" i="25"/>
  <c r="I96" i="25"/>
  <c r="I97" i="25"/>
  <c r="H47" i="25"/>
  <c r="O49" i="25"/>
  <c r="O45" i="25"/>
  <c r="O96" i="25"/>
  <c r="O97" i="25"/>
  <c r="N47" i="25"/>
  <c r="F49" i="25"/>
  <c r="F45" i="25"/>
  <c r="E47" i="25"/>
  <c r="J49" i="25"/>
  <c r="L49" i="25"/>
  <c r="L45" i="25"/>
  <c r="K47" i="25"/>
  <c r="I49" i="24"/>
  <c r="I45" i="24"/>
  <c r="I96" i="24"/>
  <c r="I97" i="24"/>
  <c r="H47" i="24"/>
  <c r="K50" i="24"/>
  <c r="K82" i="24"/>
  <c r="K83" i="24"/>
  <c r="L47" i="24"/>
  <c r="L50" i="24"/>
  <c r="L72" i="24"/>
  <c r="O49" i="24"/>
  <c r="O45" i="24"/>
  <c r="O96" i="24"/>
  <c r="O97" i="24"/>
  <c r="N47" i="24"/>
  <c r="F49" i="24"/>
  <c r="F45" i="24"/>
  <c r="E47" i="24"/>
  <c r="O49" i="23"/>
  <c r="O45" i="23"/>
  <c r="O96" i="23"/>
  <c r="O97" i="23"/>
  <c r="N47" i="23"/>
  <c r="E50" i="23"/>
  <c r="E82" i="23"/>
  <c r="E83" i="23"/>
  <c r="F47" i="23"/>
  <c r="F50" i="23"/>
  <c r="F72" i="23"/>
  <c r="F76" i="23"/>
  <c r="I49" i="23"/>
  <c r="I45" i="23"/>
  <c r="I96" i="23"/>
  <c r="I97" i="23"/>
  <c r="H47" i="23"/>
  <c r="J49" i="23"/>
  <c r="L49" i="23"/>
  <c r="L45" i="23"/>
  <c r="K47" i="23"/>
  <c r="O45" i="22"/>
  <c r="O96" i="22"/>
  <c r="O97" i="22"/>
  <c r="N47" i="22"/>
  <c r="J49" i="22"/>
  <c r="L49" i="22"/>
  <c r="O49" i="22"/>
  <c r="L45" i="22"/>
  <c r="K47" i="22"/>
  <c r="I49" i="22"/>
  <c r="I45" i="22"/>
  <c r="I96" i="22"/>
  <c r="I97" i="22"/>
  <c r="H47" i="22"/>
  <c r="F49" i="22"/>
  <c r="F45" i="22"/>
  <c r="E47" i="22"/>
  <c r="I49" i="21"/>
  <c r="O45" i="21"/>
  <c r="O96" i="21"/>
  <c r="O97" i="21"/>
  <c r="N47" i="21"/>
  <c r="I45" i="21"/>
  <c r="I96" i="21"/>
  <c r="I97" i="21"/>
  <c r="H47" i="21"/>
  <c r="F47" i="21"/>
  <c r="F50" i="21"/>
  <c r="F72" i="21"/>
  <c r="F76" i="21"/>
  <c r="E50" i="21"/>
  <c r="E82" i="21"/>
  <c r="E83" i="21"/>
  <c r="F78" i="21"/>
  <c r="J49" i="21"/>
  <c r="L49" i="21"/>
  <c r="O49" i="21"/>
  <c r="L45" i="21"/>
  <c r="K47" i="21"/>
  <c r="J49" i="20"/>
  <c r="L49" i="20"/>
  <c r="L45" i="20"/>
  <c r="K47" i="20"/>
  <c r="I49" i="20"/>
  <c r="I45" i="20"/>
  <c r="I96" i="20"/>
  <c r="I97" i="20"/>
  <c r="H47" i="20"/>
  <c r="O49" i="20"/>
  <c r="O45" i="20"/>
  <c r="O96" i="20"/>
  <c r="O97" i="20"/>
  <c r="N47" i="20"/>
  <c r="F47" i="20"/>
  <c r="F50" i="20"/>
  <c r="F72" i="20"/>
  <c r="F76" i="20"/>
  <c r="F79" i="20"/>
  <c r="D81" i="20"/>
  <c r="D82" i="20"/>
  <c r="E50" i="20"/>
  <c r="E82" i="20"/>
  <c r="E83" i="20"/>
  <c r="F49" i="19"/>
  <c r="F45" i="19"/>
  <c r="E47" i="19"/>
  <c r="I49" i="19"/>
  <c r="I45" i="19"/>
  <c r="I96" i="19"/>
  <c r="I97" i="19"/>
  <c r="H47" i="19"/>
  <c r="O49" i="19"/>
  <c r="J49" i="19"/>
  <c r="L49" i="19"/>
  <c r="O45" i="19"/>
  <c r="O96" i="19"/>
  <c r="O97" i="19"/>
  <c r="N47" i="19"/>
  <c r="L45" i="19"/>
  <c r="K47" i="19"/>
  <c r="H50" i="18"/>
  <c r="H82" i="18"/>
  <c r="H83" i="18"/>
  <c r="I47" i="18"/>
  <c r="I50" i="18"/>
  <c r="I72" i="18"/>
  <c r="K50" i="18"/>
  <c r="K82" i="18"/>
  <c r="K83" i="18"/>
  <c r="L47" i="18"/>
  <c r="L50" i="18"/>
  <c r="L72" i="18"/>
  <c r="F49" i="18"/>
  <c r="F45" i="18"/>
  <c r="E47" i="18"/>
  <c r="O45" i="18"/>
  <c r="O96" i="18"/>
  <c r="O97" i="18"/>
  <c r="N47" i="18"/>
  <c r="O49" i="18"/>
  <c r="N50" i="16"/>
  <c r="N82" i="16"/>
  <c r="N83" i="16"/>
  <c r="O47" i="16"/>
  <c r="O50" i="16"/>
  <c r="O72" i="16"/>
  <c r="H50" i="16"/>
  <c r="H82" i="16"/>
  <c r="H83" i="16"/>
  <c r="I47" i="16"/>
  <c r="I50" i="16"/>
  <c r="I72" i="16"/>
  <c r="J49" i="16"/>
  <c r="L49" i="16"/>
  <c r="L45" i="16"/>
  <c r="K47" i="16"/>
  <c r="F64" i="15" a="1"/>
  <c r="F72" i="15" a="1"/>
  <c r="F56" i="15" a="1"/>
  <c r="D69" i="15" a="1"/>
  <c r="F70" i="15" a="1"/>
  <c r="E69" i="15" a="1"/>
  <c r="F50" i="15" a="1"/>
  <c r="D63" i="15" a="1"/>
  <c r="D53" i="15" a="1"/>
  <c r="F60" i="15" a="1"/>
  <c r="G49" i="15" a="1"/>
  <c r="D52" i="15" a="1"/>
  <c r="D55" i="15" a="1"/>
  <c r="E67" i="15" a="1"/>
  <c r="E49" i="15" a="1"/>
  <c r="E66" i="15" a="1"/>
  <c r="D66" i="15" a="1"/>
  <c r="F59" i="15" a="1"/>
  <c r="E50" i="15" a="1"/>
  <c r="E64" i="15" a="1"/>
  <c r="D58" i="15" a="1"/>
  <c r="D60" i="15" a="1"/>
  <c r="F79" i="42"/>
  <c r="D81" i="42"/>
  <c r="D82" i="42"/>
  <c r="F82" i="42"/>
  <c r="F78" i="31"/>
  <c r="F79" i="31"/>
  <c r="D81" i="31"/>
  <c r="F78" i="20"/>
  <c r="F79" i="21"/>
  <c r="D81" i="21"/>
  <c r="D82" i="21"/>
  <c r="F82" i="21"/>
  <c r="E64" i="15"/>
  <c r="E67" i="15"/>
  <c r="D53" i="15"/>
  <c r="E50" i="15"/>
  <c r="E66" i="15"/>
  <c r="F64" i="15"/>
  <c r="D52" i="15"/>
  <c r="E49" i="15"/>
  <c r="D63" i="15"/>
  <c r="D66" i="15"/>
  <c r="F70" i="15"/>
  <c r="F50" i="15"/>
  <c r="E69" i="15"/>
  <c r="G49" i="15"/>
  <c r="D55" i="15"/>
  <c r="F72" i="15"/>
  <c r="F56" i="15"/>
  <c r="F59" i="15"/>
  <c r="D69" i="15"/>
  <c r="F81" i="42"/>
  <c r="F78" i="37"/>
  <c r="F79" i="37"/>
  <c r="D81" i="37"/>
  <c r="F79" i="16"/>
  <c r="D81" i="16"/>
  <c r="F78" i="23"/>
  <c r="F79" i="23"/>
  <c r="D81" i="23"/>
  <c r="D58" i="15"/>
  <c r="F78" i="26"/>
  <c r="F60" i="15"/>
  <c r="F76" i="34"/>
  <c r="F78" i="34"/>
  <c r="D60" i="15"/>
  <c r="F76" i="28"/>
  <c r="F79" i="28"/>
  <c r="D81" i="28"/>
  <c r="D82" i="28"/>
  <c r="F82" i="28"/>
  <c r="F78" i="28"/>
  <c r="F88" i="42"/>
  <c r="O47" i="28"/>
  <c r="O50" i="28"/>
  <c r="O72" i="28"/>
  <c r="N50" i="28"/>
  <c r="N82" i="28"/>
  <c r="N83" i="28"/>
  <c r="N50" i="38"/>
  <c r="N82" i="38"/>
  <c r="N83" i="38"/>
  <c r="O47" i="38"/>
  <c r="O50" i="38"/>
  <c r="O72" i="38"/>
  <c r="H50" i="38"/>
  <c r="H82" i="38"/>
  <c r="H83" i="38"/>
  <c r="I47" i="38"/>
  <c r="I50" i="38"/>
  <c r="I72" i="38"/>
  <c r="E50" i="38"/>
  <c r="E82" i="38"/>
  <c r="E83" i="38"/>
  <c r="F47" i="38"/>
  <c r="F50" i="38"/>
  <c r="F72" i="38"/>
  <c r="F76" i="38"/>
  <c r="F79" i="38"/>
  <c r="D81" i="38"/>
  <c r="D82" i="38"/>
  <c r="N50" i="37"/>
  <c r="N82" i="37"/>
  <c r="N83" i="37"/>
  <c r="O47" i="37"/>
  <c r="O50" i="37"/>
  <c r="O72" i="37"/>
  <c r="K50" i="37"/>
  <c r="K82" i="37"/>
  <c r="K83" i="37"/>
  <c r="L47" i="37"/>
  <c r="L50" i="37"/>
  <c r="L72" i="37"/>
  <c r="H50" i="36"/>
  <c r="H82" i="36"/>
  <c r="H83" i="36"/>
  <c r="I47" i="36"/>
  <c r="I50" i="36"/>
  <c r="I72" i="36"/>
  <c r="K50" i="36"/>
  <c r="K82" i="36"/>
  <c r="K83" i="36"/>
  <c r="L47" i="36"/>
  <c r="L50" i="36"/>
  <c r="L72" i="36"/>
  <c r="E50" i="36"/>
  <c r="E82" i="36"/>
  <c r="E83" i="36"/>
  <c r="F47" i="36"/>
  <c r="F50" i="36"/>
  <c r="F72" i="36"/>
  <c r="F76" i="36"/>
  <c r="F79" i="36"/>
  <c r="D81" i="36"/>
  <c r="D82" i="36"/>
  <c r="N50" i="36"/>
  <c r="N82" i="36"/>
  <c r="N83" i="36"/>
  <c r="O47" i="36"/>
  <c r="O50" i="36"/>
  <c r="O72" i="36"/>
  <c r="N50" i="35"/>
  <c r="N82" i="35"/>
  <c r="N83" i="35"/>
  <c r="O47" i="35"/>
  <c r="O50" i="35"/>
  <c r="O72" i="35"/>
  <c r="K50" i="35"/>
  <c r="K82" i="35"/>
  <c r="K83" i="35"/>
  <c r="L47" i="35"/>
  <c r="L50" i="35"/>
  <c r="L72" i="35"/>
  <c r="E50" i="35"/>
  <c r="E82" i="35"/>
  <c r="E83" i="35"/>
  <c r="F47" i="35"/>
  <c r="F50" i="35"/>
  <c r="F72" i="35"/>
  <c r="F78" i="35"/>
  <c r="K50" i="34"/>
  <c r="K82" i="34"/>
  <c r="K83" i="34"/>
  <c r="L47" i="34"/>
  <c r="L50" i="34"/>
  <c r="L72" i="34"/>
  <c r="N50" i="34"/>
  <c r="N82" i="34"/>
  <c r="N83" i="34"/>
  <c r="O47" i="34"/>
  <c r="O50" i="34"/>
  <c r="O72" i="34"/>
  <c r="N50" i="33"/>
  <c r="N82" i="33"/>
  <c r="N83" i="33"/>
  <c r="O47" i="33"/>
  <c r="O50" i="33"/>
  <c r="O72" i="33"/>
  <c r="H50" i="33"/>
  <c r="H82" i="33"/>
  <c r="H83" i="33"/>
  <c r="I47" i="33"/>
  <c r="I50" i="33"/>
  <c r="I72" i="33"/>
  <c r="K50" i="33"/>
  <c r="K82" i="33"/>
  <c r="K83" i="33"/>
  <c r="L47" i="33"/>
  <c r="L50" i="33"/>
  <c r="L72" i="33"/>
  <c r="E50" i="33"/>
  <c r="E82" i="33"/>
  <c r="E83" i="33"/>
  <c r="F47" i="33"/>
  <c r="F50" i="33"/>
  <c r="F72" i="33"/>
  <c r="F78" i="33"/>
  <c r="E50" i="32"/>
  <c r="E82" i="32"/>
  <c r="E83" i="32"/>
  <c r="F47" i="32"/>
  <c r="F50" i="32"/>
  <c r="F72" i="32"/>
  <c r="F78" i="32"/>
  <c r="N50" i="32"/>
  <c r="N82" i="32"/>
  <c r="N83" i="32"/>
  <c r="O47" i="32"/>
  <c r="O50" i="32"/>
  <c r="O72" i="32"/>
  <c r="H50" i="31"/>
  <c r="H82" i="31"/>
  <c r="H83" i="31"/>
  <c r="I47" i="31"/>
  <c r="I50" i="31"/>
  <c r="I72" i="31"/>
  <c r="N50" i="31"/>
  <c r="N82" i="31"/>
  <c r="N83" i="31"/>
  <c r="O47" i="31"/>
  <c r="O50" i="31"/>
  <c r="O72" i="31"/>
  <c r="K50" i="31"/>
  <c r="K82" i="31"/>
  <c r="K83" i="31"/>
  <c r="L47" i="31"/>
  <c r="L50" i="31"/>
  <c r="L72" i="31"/>
  <c r="N50" i="30"/>
  <c r="N82" i="30"/>
  <c r="N83" i="30"/>
  <c r="O47" i="30"/>
  <c r="O50" i="30"/>
  <c r="O72" i="30"/>
  <c r="H50" i="30"/>
  <c r="H82" i="30"/>
  <c r="H83" i="30"/>
  <c r="I47" i="30"/>
  <c r="I50" i="30"/>
  <c r="I72" i="30"/>
  <c r="K50" i="30"/>
  <c r="K82" i="30"/>
  <c r="K83" i="30"/>
  <c r="L47" i="30"/>
  <c r="L50" i="30"/>
  <c r="L72" i="30"/>
  <c r="H50" i="29"/>
  <c r="H82" i="29"/>
  <c r="H83" i="29"/>
  <c r="I47" i="29"/>
  <c r="I50" i="29"/>
  <c r="I72" i="29"/>
  <c r="K50" i="29"/>
  <c r="K82" i="29"/>
  <c r="K83" i="29"/>
  <c r="L47" i="29"/>
  <c r="L50" i="29"/>
  <c r="L72" i="29"/>
  <c r="E50" i="29"/>
  <c r="E82" i="29"/>
  <c r="E83" i="29"/>
  <c r="F47" i="29"/>
  <c r="F50" i="29"/>
  <c r="F72" i="29"/>
  <c r="F76" i="29"/>
  <c r="F79" i="29"/>
  <c r="D81" i="29"/>
  <c r="D82" i="29"/>
  <c r="N50" i="29"/>
  <c r="N82" i="29"/>
  <c r="N83" i="29"/>
  <c r="O47" i="29"/>
  <c r="O50" i="29"/>
  <c r="O72" i="29"/>
  <c r="H50" i="28"/>
  <c r="H82" i="28"/>
  <c r="H83" i="28"/>
  <c r="I47" i="28"/>
  <c r="I50" i="28"/>
  <c r="I72" i="28"/>
  <c r="N50" i="27"/>
  <c r="N82" i="27"/>
  <c r="N83" i="27"/>
  <c r="O47" i="27"/>
  <c r="O50" i="27"/>
  <c r="O72" i="27"/>
  <c r="E50" i="27"/>
  <c r="E82" i="27"/>
  <c r="E83" i="27"/>
  <c r="F47" i="27"/>
  <c r="F50" i="27"/>
  <c r="F72" i="27"/>
  <c r="F78" i="27"/>
  <c r="H50" i="27"/>
  <c r="H82" i="27"/>
  <c r="H83" i="27"/>
  <c r="I47" i="27"/>
  <c r="I50" i="27"/>
  <c r="I72" i="27"/>
  <c r="N50" i="26"/>
  <c r="N82" i="26"/>
  <c r="N83" i="26"/>
  <c r="O47" i="26"/>
  <c r="O50" i="26"/>
  <c r="O72" i="26"/>
  <c r="F81" i="26"/>
  <c r="F82" i="26"/>
  <c r="H50" i="26"/>
  <c r="H82" i="26"/>
  <c r="H83" i="26"/>
  <c r="I47" i="26"/>
  <c r="I50" i="26"/>
  <c r="I72" i="26"/>
  <c r="K50" i="26"/>
  <c r="K82" i="26"/>
  <c r="K83" i="26"/>
  <c r="L47" i="26"/>
  <c r="L50" i="26"/>
  <c r="L72" i="26"/>
  <c r="E50" i="25"/>
  <c r="E82" i="25"/>
  <c r="E83" i="25"/>
  <c r="F47" i="25"/>
  <c r="F50" i="25"/>
  <c r="F72" i="25"/>
  <c r="F76" i="25"/>
  <c r="F79" i="25"/>
  <c r="D81" i="25"/>
  <c r="D82" i="25"/>
  <c r="K50" i="25"/>
  <c r="K82" i="25"/>
  <c r="K83" i="25"/>
  <c r="L47" i="25"/>
  <c r="L50" i="25"/>
  <c r="L72" i="25"/>
  <c r="N50" i="25"/>
  <c r="N82" i="25"/>
  <c r="N83" i="25"/>
  <c r="O47" i="25"/>
  <c r="O50" i="25"/>
  <c r="O72" i="25"/>
  <c r="H50" i="25"/>
  <c r="H82" i="25"/>
  <c r="H83" i="25"/>
  <c r="I47" i="25"/>
  <c r="I50" i="25"/>
  <c r="I72" i="25"/>
  <c r="E50" i="24"/>
  <c r="E82" i="24"/>
  <c r="E83" i="24"/>
  <c r="F47" i="24"/>
  <c r="F50" i="24"/>
  <c r="F72" i="24"/>
  <c r="F76" i="24"/>
  <c r="F79" i="24"/>
  <c r="D81" i="24"/>
  <c r="D82" i="24"/>
  <c r="N50" i="24"/>
  <c r="N82" i="24"/>
  <c r="N83" i="24"/>
  <c r="O47" i="24"/>
  <c r="O50" i="24"/>
  <c r="O72" i="24"/>
  <c r="H50" i="24"/>
  <c r="H82" i="24"/>
  <c r="H83" i="24"/>
  <c r="I47" i="24"/>
  <c r="I50" i="24"/>
  <c r="I72" i="24"/>
  <c r="K50" i="23"/>
  <c r="K82" i="23"/>
  <c r="K83" i="23"/>
  <c r="L47" i="23"/>
  <c r="L50" i="23"/>
  <c r="L72" i="23"/>
  <c r="H50" i="23"/>
  <c r="H82" i="23"/>
  <c r="H83" i="23"/>
  <c r="I47" i="23"/>
  <c r="I50" i="23"/>
  <c r="I72" i="23"/>
  <c r="N50" i="23"/>
  <c r="N82" i="23"/>
  <c r="N83" i="23"/>
  <c r="O47" i="23"/>
  <c r="O50" i="23"/>
  <c r="O72" i="23"/>
  <c r="E50" i="22"/>
  <c r="E82" i="22"/>
  <c r="E83" i="22"/>
  <c r="F47" i="22"/>
  <c r="F50" i="22"/>
  <c r="F72" i="22"/>
  <c r="F76" i="22"/>
  <c r="F79" i="22"/>
  <c r="D81" i="22"/>
  <c r="D82" i="22"/>
  <c r="K50" i="22"/>
  <c r="K82" i="22"/>
  <c r="K83" i="22"/>
  <c r="L47" i="22"/>
  <c r="L50" i="22"/>
  <c r="L72" i="22"/>
  <c r="H50" i="22"/>
  <c r="H82" i="22"/>
  <c r="H83" i="22"/>
  <c r="I47" i="22"/>
  <c r="I50" i="22"/>
  <c r="I72" i="22"/>
  <c r="N50" i="22"/>
  <c r="N82" i="22"/>
  <c r="N83" i="22"/>
  <c r="O47" i="22"/>
  <c r="O50" i="22"/>
  <c r="O72" i="22"/>
  <c r="K50" i="21"/>
  <c r="K82" i="21"/>
  <c r="K83" i="21"/>
  <c r="L47" i="21"/>
  <c r="L50" i="21"/>
  <c r="L72" i="21"/>
  <c r="H50" i="21"/>
  <c r="H82" i="21"/>
  <c r="H83" i="21"/>
  <c r="I47" i="21"/>
  <c r="I50" i="21"/>
  <c r="I72" i="21"/>
  <c r="N50" i="21"/>
  <c r="N82" i="21"/>
  <c r="N83" i="21"/>
  <c r="O47" i="21"/>
  <c r="O50" i="21"/>
  <c r="O72" i="21"/>
  <c r="N50" i="20"/>
  <c r="N82" i="20"/>
  <c r="N83" i="20"/>
  <c r="O47" i="20"/>
  <c r="O50" i="20"/>
  <c r="O72" i="20"/>
  <c r="F81" i="20"/>
  <c r="F82" i="20"/>
  <c r="H50" i="20"/>
  <c r="H82" i="20"/>
  <c r="H83" i="20"/>
  <c r="I47" i="20"/>
  <c r="I50" i="20"/>
  <c r="I72" i="20"/>
  <c r="K50" i="20"/>
  <c r="K82" i="20"/>
  <c r="K83" i="20"/>
  <c r="L47" i="20"/>
  <c r="L50" i="20"/>
  <c r="L72" i="20"/>
  <c r="N50" i="19"/>
  <c r="N82" i="19"/>
  <c r="N83" i="19"/>
  <c r="O47" i="19"/>
  <c r="O50" i="19"/>
  <c r="O72" i="19"/>
  <c r="K50" i="19"/>
  <c r="K82" i="19"/>
  <c r="K83" i="19"/>
  <c r="L47" i="19"/>
  <c r="L50" i="19"/>
  <c r="L72" i="19"/>
  <c r="H50" i="19"/>
  <c r="H82" i="19"/>
  <c r="H83" i="19"/>
  <c r="I47" i="19"/>
  <c r="I50" i="19"/>
  <c r="I72" i="19"/>
  <c r="E50" i="19"/>
  <c r="E82" i="19"/>
  <c r="E83" i="19"/>
  <c r="F47" i="19"/>
  <c r="F50" i="19"/>
  <c r="F72" i="19"/>
  <c r="F76" i="19"/>
  <c r="N50" i="18"/>
  <c r="N82" i="18"/>
  <c r="N83" i="18"/>
  <c r="O47" i="18"/>
  <c r="O50" i="18"/>
  <c r="O72" i="18"/>
  <c r="E50" i="18"/>
  <c r="E82" i="18"/>
  <c r="E83" i="18"/>
  <c r="F47" i="18"/>
  <c r="F50" i="18"/>
  <c r="F72" i="18"/>
  <c r="F78" i="18"/>
  <c r="K50" i="16"/>
  <c r="K82" i="16"/>
  <c r="K83" i="16"/>
  <c r="L47" i="16"/>
  <c r="L50" i="16"/>
  <c r="L72" i="16"/>
  <c r="F69" i="15" a="1"/>
  <c r="F52" i="15" a="1"/>
  <c r="D57" i="15" a="1"/>
  <c r="G58" i="15" a="1"/>
  <c r="G66" i="15" a="1"/>
  <c r="G55" i="15" a="1"/>
  <c r="F68" i="15" a="1"/>
  <c r="F65" i="15" a="1"/>
  <c r="D65" i="15" a="1"/>
  <c r="E57" i="15" a="1"/>
  <c r="G51" i="15" a="1"/>
  <c r="D61" i="15" a="1"/>
  <c r="G70" i="15" a="1"/>
  <c r="D56" i="15" a="1"/>
  <c r="E58" i="15" a="1"/>
  <c r="G62" i="15" a="1"/>
  <c r="F61" i="15" a="1"/>
  <c r="F58" i="15" a="1"/>
  <c r="G59" i="15" a="1"/>
  <c r="D50" i="15" a="1"/>
  <c r="E65" i="15" a="1"/>
  <c r="G54" i="15" a="1"/>
  <c r="E62" i="15" a="1"/>
  <c r="E71" i="15" a="1"/>
  <c r="D51" i="15" a="1"/>
  <c r="E59" i="15" a="1"/>
  <c r="G57" i="15" a="1"/>
  <c r="G53" i="15" a="1"/>
  <c r="E63" i="15" a="1"/>
  <c r="D67" i="15" a="1"/>
  <c r="F57" i="15" a="1"/>
  <c r="F66" i="15" a="1"/>
  <c r="E51" i="15" a="1"/>
  <c r="G71" i="15" a="1"/>
  <c r="F55" i="15" a="1"/>
  <c r="G50" i="15" a="1"/>
  <c r="D70" i="15" a="1"/>
  <c r="E61" i="15" a="1"/>
  <c r="F67" i="15" a="1"/>
  <c r="F49" i="15" a="1"/>
  <c r="E54" i="15" a="1"/>
  <c r="F54" i="15" a="1"/>
  <c r="E60" i="15" a="1"/>
  <c r="G56" i="15" a="1"/>
  <c r="E53" i="15" a="1"/>
  <c r="G65" i="15" a="1"/>
  <c r="E55" i="15" a="1"/>
  <c r="G67" i="15" a="1"/>
  <c r="G68" i="15" a="1"/>
  <c r="F63" i="15" a="1"/>
  <c r="D71" i="15" a="1"/>
  <c r="F51" i="15" a="1"/>
  <c r="D64" i="15" a="1"/>
  <c r="F71" i="15" a="1"/>
  <c r="E52" i="15" a="1"/>
  <c r="E56" i="15" a="1"/>
  <c r="G61" i="15" a="1"/>
  <c r="G60" i="15" a="1"/>
  <c r="G69" i="15" a="1"/>
  <c r="D54" i="15" a="1"/>
  <c r="D59" i="15" a="1"/>
  <c r="E70" i="15" a="1"/>
  <c r="G52" i="15" a="1"/>
  <c r="D68" i="15" a="1"/>
  <c r="F62" i="15" a="1"/>
  <c r="F53" i="15" a="1"/>
  <c r="E68" i="15" a="1"/>
  <c r="G63" i="15" a="1"/>
  <c r="G64" i="15" a="1"/>
  <c r="F89" i="42"/>
  <c r="F90" i="42"/>
  <c r="I74" i="42"/>
  <c r="F83" i="42"/>
  <c r="F84" i="42"/>
  <c r="I73" i="42"/>
  <c r="F81" i="28"/>
  <c r="F88" i="28"/>
  <c r="F78" i="38"/>
  <c r="D82" i="37"/>
  <c r="F82" i="37"/>
  <c r="F89" i="37"/>
  <c r="F81" i="37"/>
  <c r="F76" i="27"/>
  <c r="F79" i="27"/>
  <c r="D81" i="27"/>
  <c r="D82" i="27"/>
  <c r="F82" i="27"/>
  <c r="F79" i="34"/>
  <c r="D81" i="34"/>
  <c r="D82" i="34"/>
  <c r="F82" i="34"/>
  <c r="F76" i="32"/>
  <c r="F79" i="32"/>
  <c r="D81" i="32"/>
  <c r="D82" i="32"/>
  <c r="F82" i="32"/>
  <c r="F78" i="25"/>
  <c r="F78" i="24"/>
  <c r="F78" i="36"/>
  <c r="F76" i="35"/>
  <c r="F79" i="35"/>
  <c r="D81" i="35"/>
  <c r="D82" i="35"/>
  <c r="F82" i="35"/>
  <c r="F81" i="21"/>
  <c r="F88" i="21"/>
  <c r="E55" i="15"/>
  <c r="F66" i="15"/>
  <c r="F68" i="15"/>
  <c r="G70" i="15"/>
  <c r="F49" i="15"/>
  <c r="G51" i="15"/>
  <c r="F53" i="15"/>
  <c r="F55" i="15"/>
  <c r="F57" i="15"/>
  <c r="D59" i="15"/>
  <c r="D64" i="15"/>
  <c r="D65" i="15"/>
  <c r="F69" i="15"/>
  <c r="E71" i="15"/>
  <c r="F52" i="15"/>
  <c r="G59" i="15"/>
  <c r="G50" i="15"/>
  <c r="E52" i="15"/>
  <c r="G56" i="15"/>
  <c r="F58" i="15"/>
  <c r="F65" i="15"/>
  <c r="G71" i="15"/>
  <c r="G54" i="15"/>
  <c r="F67" i="15"/>
  <c r="E56" i="15"/>
  <c r="E54" i="15"/>
  <c r="E58" i="15"/>
  <c r="F63" i="15"/>
  <c r="E65" i="15"/>
  <c r="E68" i="15"/>
  <c r="D57" i="15"/>
  <c r="G67" i="15"/>
  <c r="G69" i="15"/>
  <c r="D71" i="15"/>
  <c r="F51" i="15"/>
  <c r="D50" i="15"/>
  <c r="G52" i="15"/>
  <c r="F54" i="15"/>
  <c r="D56" i="15"/>
  <c r="G63" i="15"/>
  <c r="G65" i="15"/>
  <c r="D70" i="15"/>
  <c r="D51" i="15"/>
  <c r="E57" i="15"/>
  <c r="G68" i="15"/>
  <c r="F71" i="15"/>
  <c r="E63" i="15"/>
  <c r="E51" i="15"/>
  <c r="E53" i="15"/>
  <c r="G55" i="15"/>
  <c r="G57" i="15"/>
  <c r="E59" i="15"/>
  <c r="G64" i="15"/>
  <c r="G66" i="15"/>
  <c r="G53" i="15"/>
  <c r="G58" i="15"/>
  <c r="E70" i="15"/>
  <c r="F78" i="22"/>
  <c r="F76" i="18"/>
  <c r="F79" i="18"/>
  <c r="D81" i="18"/>
  <c r="D82" i="18"/>
  <c r="F82" i="18"/>
  <c r="F78" i="19"/>
  <c r="F76" i="33"/>
  <c r="F79" i="33"/>
  <c r="D81" i="33"/>
  <c r="D82" i="16"/>
  <c r="F82" i="16"/>
  <c r="F81" i="16"/>
  <c r="D83" i="42"/>
  <c r="G62" i="15"/>
  <c r="F62" i="15"/>
  <c r="E62" i="15"/>
  <c r="G61" i="15"/>
  <c r="F61" i="15"/>
  <c r="E61" i="15"/>
  <c r="D61" i="15"/>
  <c r="F78" i="29"/>
  <c r="G60" i="15"/>
  <c r="E60" i="15"/>
  <c r="F81" i="31"/>
  <c r="F88" i="31"/>
  <c r="D82" i="31"/>
  <c r="F82" i="31"/>
  <c r="F89" i="31"/>
  <c r="F81" i="23"/>
  <c r="F88" i="23"/>
  <c r="D82" i="23"/>
  <c r="F82" i="23"/>
  <c r="F89" i="23"/>
  <c r="D68" i="15"/>
  <c r="D67" i="15"/>
  <c r="D54" i="15"/>
  <c r="I75" i="42"/>
  <c r="I76" i="42"/>
  <c r="F81" i="38"/>
  <c r="F82" i="38"/>
  <c r="I74" i="37"/>
  <c r="F81" i="36"/>
  <c r="F82" i="36"/>
  <c r="D83" i="31"/>
  <c r="F81" i="29"/>
  <c r="F82" i="29"/>
  <c r="F89" i="28"/>
  <c r="I74" i="28"/>
  <c r="D83" i="28"/>
  <c r="F83" i="28"/>
  <c r="I73" i="28"/>
  <c r="F89" i="26"/>
  <c r="I74" i="26"/>
  <c r="D83" i="26"/>
  <c r="I73" i="26"/>
  <c r="F88" i="26"/>
  <c r="F83" i="26"/>
  <c r="F81" i="25"/>
  <c r="F82" i="25"/>
  <c r="F81" i="24"/>
  <c r="F82" i="24"/>
  <c r="F81" i="22"/>
  <c r="F82" i="22"/>
  <c r="F89" i="21"/>
  <c r="I74" i="21"/>
  <c r="D83" i="21"/>
  <c r="F83" i="21"/>
  <c r="I73" i="21"/>
  <c r="D83" i="20"/>
  <c r="F89" i="20"/>
  <c r="I74" i="20"/>
  <c r="F88" i="20"/>
  <c r="F83" i="20"/>
  <c r="I73" i="20"/>
  <c r="F79" i="19"/>
  <c r="D81" i="19"/>
  <c r="D17" i="15" a="1"/>
  <c r="D22" i="15" a="1"/>
  <c r="D95" i="15" a="1"/>
  <c r="D16" i="15" a="1"/>
  <c r="D109" i="15" a="1"/>
  <c r="D27" i="15" a="1"/>
  <c r="D97" i="15" a="1"/>
  <c r="D89" i="15" a="1"/>
  <c r="D24" i="15" a="1"/>
  <c r="D36" i="15" a="1"/>
  <c r="D90" i="15" a="1"/>
  <c r="F83" i="37"/>
  <c r="F81" i="27"/>
  <c r="F88" i="37"/>
  <c r="F90" i="37"/>
  <c r="I73" i="37"/>
  <c r="I75" i="37"/>
  <c r="I76" i="37"/>
  <c r="I79" i="37"/>
  <c r="G81" i="37"/>
  <c r="D83" i="37"/>
  <c r="I73" i="23"/>
  <c r="I73" i="31"/>
  <c r="F81" i="34"/>
  <c r="F88" i="34"/>
  <c r="F81" i="32"/>
  <c r="F83" i="32"/>
  <c r="F81" i="35"/>
  <c r="F88" i="35"/>
  <c r="D36" i="15"/>
  <c r="D83" i="16"/>
  <c r="F88" i="16"/>
  <c r="I73" i="16"/>
  <c r="F83" i="16"/>
  <c r="I74" i="16"/>
  <c r="F89" i="16"/>
  <c r="F81" i="18"/>
  <c r="I73" i="18"/>
  <c r="D82" i="33"/>
  <c r="F82" i="33"/>
  <c r="F81" i="19"/>
  <c r="F88" i="19"/>
  <c r="D82" i="19"/>
  <c r="F82" i="19"/>
  <c r="F89" i="19"/>
  <c r="D27" i="15"/>
  <c r="D22" i="15"/>
  <c r="D17" i="15"/>
  <c r="D16" i="15"/>
  <c r="D24" i="15"/>
  <c r="I78" i="42"/>
  <c r="I79" i="42"/>
  <c r="G81" i="42"/>
  <c r="F83" i="31"/>
  <c r="I74" i="31"/>
  <c r="I75" i="31"/>
  <c r="I78" i="31"/>
  <c r="I75" i="28"/>
  <c r="I76" i="28"/>
  <c r="F83" i="23"/>
  <c r="F84" i="23"/>
  <c r="F90" i="28"/>
  <c r="I75" i="21"/>
  <c r="I76" i="21"/>
  <c r="D83" i="23"/>
  <c r="F90" i="31"/>
  <c r="F90" i="23"/>
  <c r="I74" i="23"/>
  <c r="F81" i="33"/>
  <c r="F88" i="33"/>
  <c r="F90" i="20"/>
  <c r="F90" i="21"/>
  <c r="D83" i="25"/>
  <c r="F90" i="26"/>
  <c r="D109" i="15"/>
  <c r="D83" i="38"/>
  <c r="F89" i="38"/>
  <c r="I74" i="38"/>
  <c r="F88" i="38"/>
  <c r="F83" i="38"/>
  <c r="I73" i="38"/>
  <c r="F84" i="37"/>
  <c r="F89" i="36"/>
  <c r="I74" i="36"/>
  <c r="D83" i="36"/>
  <c r="F88" i="36"/>
  <c r="F83" i="36"/>
  <c r="I73" i="36"/>
  <c r="F89" i="35"/>
  <c r="I74" i="35"/>
  <c r="D83" i="35"/>
  <c r="F89" i="34"/>
  <c r="I74" i="34"/>
  <c r="D83" i="34"/>
  <c r="D83" i="33"/>
  <c r="D83" i="32"/>
  <c r="F89" i="32"/>
  <c r="I74" i="32"/>
  <c r="F88" i="32"/>
  <c r="F84" i="31"/>
  <c r="F89" i="29"/>
  <c r="I74" i="29"/>
  <c r="D83" i="29"/>
  <c r="F88" i="29"/>
  <c r="F83" i="29"/>
  <c r="I73" i="29"/>
  <c r="D97" i="15"/>
  <c r="F84" i="28"/>
  <c r="F89" i="27"/>
  <c r="I74" i="27"/>
  <c r="D83" i="27"/>
  <c r="F88" i="27"/>
  <c r="F83" i="27"/>
  <c r="I73" i="27"/>
  <c r="D95" i="15"/>
  <c r="I75" i="26"/>
  <c r="I78" i="26"/>
  <c r="F84" i="26"/>
  <c r="F89" i="25"/>
  <c r="I74" i="25"/>
  <c r="I73" i="25"/>
  <c r="F88" i="25"/>
  <c r="F83" i="25"/>
  <c r="F89" i="24"/>
  <c r="I74" i="24"/>
  <c r="D83" i="24"/>
  <c r="F88" i="24"/>
  <c r="F83" i="24"/>
  <c r="I73" i="24"/>
  <c r="F88" i="22"/>
  <c r="F83" i="22"/>
  <c r="I73" i="22"/>
  <c r="F89" i="22"/>
  <c r="I74" i="22"/>
  <c r="D83" i="22"/>
  <c r="D90" i="15"/>
  <c r="F84" i="21"/>
  <c r="D89" i="15"/>
  <c r="F84" i="20"/>
  <c r="I75" i="20"/>
  <c r="D83" i="18"/>
  <c r="F89" i="18"/>
  <c r="I74" i="18"/>
  <c r="F88" i="18"/>
  <c r="F83" i="18"/>
  <c r="D106" i="15" a="1"/>
  <c r="D33" i="15" a="1"/>
  <c r="D92" i="15" a="1"/>
  <c r="D25" i="15" a="1"/>
  <c r="D31" i="15" a="1"/>
  <c r="D94" i="15" a="1"/>
  <c r="D21" i="15" a="1"/>
  <c r="D100" i="15" a="1"/>
  <c r="D30" i="15" a="1"/>
  <c r="D98" i="15" a="1"/>
  <c r="D86" i="15" a="1"/>
  <c r="D107" i="15" a="1"/>
  <c r="D93" i="15" a="1"/>
  <c r="D18" i="15" a="1"/>
  <c r="D14" i="15" a="1"/>
  <c r="D96" i="15" a="1"/>
  <c r="D105" i="15" a="1"/>
  <c r="D91" i="15" a="1"/>
  <c r="D29" i="15" a="1"/>
  <c r="D35" i="15" a="1"/>
  <c r="D13" i="15" a="1"/>
  <c r="D23" i="15" a="1"/>
  <c r="D87" i="15" a="1"/>
  <c r="D32" i="15" a="1"/>
  <c r="D19" i="15" a="1"/>
  <c r="D34" i="15" a="1"/>
  <c r="D28" i="15" a="1"/>
  <c r="D20" i="15" a="1"/>
  <c r="D101" i="15" a="1"/>
  <c r="D106" i="15"/>
  <c r="I75" i="23"/>
  <c r="D33" i="15"/>
  <c r="I73" i="19"/>
  <c r="I73" i="34"/>
  <c r="I75" i="34"/>
  <c r="I76" i="34"/>
  <c r="I79" i="34"/>
  <c r="G81" i="34"/>
  <c r="F83" i="34"/>
  <c r="F84" i="34"/>
  <c r="I73" i="32"/>
  <c r="I75" i="32"/>
  <c r="I76" i="32"/>
  <c r="I79" i="32"/>
  <c r="G81" i="32"/>
  <c r="I79" i="21"/>
  <c r="G81" i="21"/>
  <c r="G82" i="21"/>
  <c r="I82" i="21"/>
  <c r="I73" i="35"/>
  <c r="I75" i="35"/>
  <c r="I76" i="35"/>
  <c r="F83" i="35"/>
  <c r="F84" i="35"/>
  <c r="D13" i="15"/>
  <c r="D86" i="15"/>
  <c r="F84" i="16"/>
  <c r="F90" i="16"/>
  <c r="I75" i="16"/>
  <c r="F89" i="33"/>
  <c r="I74" i="33"/>
  <c r="D35" i="15"/>
  <c r="D34" i="15"/>
  <c r="D29" i="15"/>
  <c r="D25" i="15"/>
  <c r="D23" i="15"/>
  <c r="D19" i="15"/>
  <c r="D14" i="15"/>
  <c r="D32" i="15"/>
  <c r="D31" i="15"/>
  <c r="D30" i="15"/>
  <c r="D28" i="15"/>
  <c r="D21" i="15"/>
  <c r="D20" i="15"/>
  <c r="D18" i="15"/>
  <c r="I81" i="42"/>
  <c r="I88" i="42"/>
  <c r="G82" i="42"/>
  <c r="I82" i="42"/>
  <c r="I89" i="42"/>
  <c r="D100" i="15"/>
  <c r="I76" i="31"/>
  <c r="I79" i="31"/>
  <c r="G81" i="31"/>
  <c r="G82" i="31"/>
  <c r="I82" i="31"/>
  <c r="F90" i="18"/>
  <c r="I78" i="37"/>
  <c r="I78" i="28"/>
  <c r="I79" i="28"/>
  <c r="G81" i="28"/>
  <c r="I81" i="28"/>
  <c r="I76" i="23"/>
  <c r="I78" i="23"/>
  <c r="F83" i="33"/>
  <c r="F84" i="33"/>
  <c r="I73" i="33"/>
  <c r="D92" i="15"/>
  <c r="F90" i="32"/>
  <c r="F83" i="19"/>
  <c r="F84" i="19"/>
  <c r="I74" i="19"/>
  <c r="I78" i="21"/>
  <c r="I75" i="18"/>
  <c r="I78" i="18"/>
  <c r="F90" i="25"/>
  <c r="I75" i="38"/>
  <c r="I76" i="38"/>
  <c r="F90" i="27"/>
  <c r="I75" i="36"/>
  <c r="I76" i="36"/>
  <c r="F90" i="34"/>
  <c r="D83" i="19"/>
  <c r="I75" i="29"/>
  <c r="I78" i="29"/>
  <c r="I76" i="26"/>
  <c r="I79" i="26"/>
  <c r="G81" i="26"/>
  <c r="G82" i="26"/>
  <c r="I82" i="26"/>
  <c r="F90" i="29"/>
  <c r="F90" i="38"/>
  <c r="F90" i="35"/>
  <c r="D107" i="15"/>
  <c r="F84" i="38"/>
  <c r="I81" i="37"/>
  <c r="G82" i="37"/>
  <c r="I82" i="37"/>
  <c r="D105" i="15"/>
  <c r="F84" i="36"/>
  <c r="F90" i="36"/>
  <c r="F90" i="33"/>
  <c r="D101" i="15"/>
  <c r="F84" i="32"/>
  <c r="D98" i="15"/>
  <c r="F84" i="29"/>
  <c r="D96" i="15"/>
  <c r="F84" i="27"/>
  <c r="I75" i="27"/>
  <c r="D94" i="15"/>
  <c r="F84" i="25"/>
  <c r="I75" i="25"/>
  <c r="I78" i="25"/>
  <c r="D93" i="15"/>
  <c r="I75" i="24"/>
  <c r="I76" i="24"/>
  <c r="F84" i="24"/>
  <c r="F90" i="24"/>
  <c r="D91" i="15"/>
  <c r="F84" i="22"/>
  <c r="I75" i="22"/>
  <c r="F90" i="22"/>
  <c r="I76" i="20"/>
  <c r="I79" i="20"/>
  <c r="G81" i="20"/>
  <c r="I78" i="20"/>
  <c r="F90" i="19"/>
  <c r="D87" i="15"/>
  <c r="F84" i="18"/>
  <c r="D88" i="15" a="1"/>
  <c r="D108" i="15" a="1"/>
  <c r="D15" i="15" a="1"/>
  <c r="D103" i="15" a="1"/>
  <c r="D104" i="15" a="1"/>
  <c r="D102" i="15" a="1"/>
  <c r="I79" i="38"/>
  <c r="G81" i="38"/>
  <c r="I81" i="38"/>
  <c r="I75" i="33"/>
  <c r="I76" i="33"/>
  <c r="I79" i="23"/>
  <c r="G81" i="23"/>
  <c r="I81" i="23"/>
  <c r="I75" i="19"/>
  <c r="I78" i="19"/>
  <c r="D103" i="15"/>
  <c r="I81" i="21"/>
  <c r="I83" i="21"/>
  <c r="D104" i="15"/>
  <c r="D108" i="15"/>
  <c r="I76" i="16"/>
  <c r="I78" i="16"/>
  <c r="I83" i="42"/>
  <c r="I84" i="42"/>
  <c r="L73" i="42"/>
  <c r="G83" i="42"/>
  <c r="L74" i="42"/>
  <c r="I78" i="35"/>
  <c r="I79" i="35"/>
  <c r="G81" i="35"/>
  <c r="D15" i="15"/>
  <c r="I78" i="24"/>
  <c r="I76" i="18"/>
  <c r="I79" i="18"/>
  <c r="G81" i="18"/>
  <c r="I81" i="18"/>
  <c r="D102" i="15"/>
  <c r="I81" i="31"/>
  <c r="I88" i="31"/>
  <c r="I78" i="32"/>
  <c r="I78" i="38"/>
  <c r="D88" i="15"/>
  <c r="G82" i="28"/>
  <c r="I82" i="28"/>
  <c r="I83" i="28"/>
  <c r="I90" i="42"/>
  <c r="I76" i="25"/>
  <c r="I79" i="25"/>
  <c r="G81" i="25"/>
  <c r="G82" i="25"/>
  <c r="I82" i="25"/>
  <c r="I76" i="29"/>
  <c r="I79" i="29"/>
  <c r="G81" i="29"/>
  <c r="I78" i="34"/>
  <c r="I81" i="26"/>
  <c r="L73" i="26"/>
  <c r="I78" i="36"/>
  <c r="I79" i="36"/>
  <c r="G81" i="36"/>
  <c r="I89" i="37"/>
  <c r="L74" i="37"/>
  <c r="G83" i="37"/>
  <c r="I88" i="37"/>
  <c r="I83" i="37"/>
  <c r="L73" i="37"/>
  <c r="I81" i="34"/>
  <c r="G82" i="34"/>
  <c r="I82" i="34"/>
  <c r="I81" i="32"/>
  <c r="G82" i="32"/>
  <c r="I82" i="32"/>
  <c r="I89" i="31"/>
  <c r="L74" i="31"/>
  <c r="G83" i="31"/>
  <c r="I88" i="28"/>
  <c r="L73" i="28"/>
  <c r="I76" i="27"/>
  <c r="I79" i="27"/>
  <c r="G81" i="27"/>
  <c r="I78" i="27"/>
  <c r="I89" i="26"/>
  <c r="L74" i="26"/>
  <c r="G83" i="26"/>
  <c r="I79" i="24"/>
  <c r="G81" i="24"/>
  <c r="I76" i="22"/>
  <c r="I79" i="22"/>
  <c r="G81" i="22"/>
  <c r="I78" i="22"/>
  <c r="I89" i="21"/>
  <c r="L74" i="21"/>
  <c r="G83" i="21"/>
  <c r="L73" i="21"/>
  <c r="I81" i="20"/>
  <c r="G82" i="20"/>
  <c r="I82" i="20"/>
  <c r="E22" i="15" a="1"/>
  <c r="E109" i="15" a="1"/>
  <c r="E17" i="15" a="1"/>
  <c r="E90" i="15" a="1"/>
  <c r="E36" i="15" a="1"/>
  <c r="E27" i="15" a="1"/>
  <c r="E33" i="15" a="1"/>
  <c r="E97" i="15" a="1"/>
  <c r="E106" i="15" a="1"/>
  <c r="L75" i="42"/>
  <c r="L76" i="42"/>
  <c r="G82" i="38"/>
  <c r="I82" i="38"/>
  <c r="I89" i="38"/>
  <c r="I78" i="33"/>
  <c r="I79" i="33"/>
  <c r="G81" i="33"/>
  <c r="I81" i="33"/>
  <c r="I88" i="33"/>
  <c r="I88" i="23"/>
  <c r="I76" i="19"/>
  <c r="I79" i="19"/>
  <c r="G81" i="19"/>
  <c r="G82" i="19"/>
  <c r="I82" i="19"/>
  <c r="I89" i="19"/>
  <c r="I79" i="16"/>
  <c r="G81" i="16"/>
  <c r="I81" i="16"/>
  <c r="I81" i="25"/>
  <c r="I88" i="25"/>
  <c r="I88" i="21"/>
  <c r="I90" i="21"/>
  <c r="G82" i="36"/>
  <c r="I82" i="36"/>
  <c r="I89" i="36"/>
  <c r="I81" i="36"/>
  <c r="I88" i="36"/>
  <c r="I81" i="35"/>
  <c r="I88" i="35"/>
  <c r="G82" i="35"/>
  <c r="I82" i="35"/>
  <c r="I89" i="35"/>
  <c r="E27" i="15"/>
  <c r="E22" i="15"/>
  <c r="E17" i="15"/>
  <c r="E36" i="15"/>
  <c r="E33" i="15"/>
  <c r="L74" i="28"/>
  <c r="L75" i="28"/>
  <c r="L78" i="28"/>
  <c r="L73" i="31"/>
  <c r="L75" i="31"/>
  <c r="I83" i="31"/>
  <c r="I84" i="31"/>
  <c r="G82" i="18"/>
  <c r="I82" i="18"/>
  <c r="I89" i="18"/>
  <c r="L73" i="23"/>
  <c r="G82" i="23"/>
  <c r="I82" i="23"/>
  <c r="I89" i="23"/>
  <c r="I90" i="23"/>
  <c r="I89" i="28"/>
  <c r="I90" i="28"/>
  <c r="L78" i="42"/>
  <c r="L79" i="42"/>
  <c r="J81" i="42"/>
  <c r="L81" i="42"/>
  <c r="G83" i="28"/>
  <c r="I83" i="26"/>
  <c r="I88" i="26"/>
  <c r="I90" i="26"/>
  <c r="I90" i="31"/>
  <c r="E109" i="15"/>
  <c r="I88" i="38"/>
  <c r="L73" i="38"/>
  <c r="E106" i="15"/>
  <c r="L75" i="37"/>
  <c r="L76" i="37"/>
  <c r="I84" i="37"/>
  <c r="I90" i="37"/>
  <c r="G83" i="34"/>
  <c r="I89" i="34"/>
  <c r="L74" i="34"/>
  <c r="I88" i="34"/>
  <c r="I83" i="34"/>
  <c r="L73" i="34"/>
  <c r="G83" i="32"/>
  <c r="I89" i="32"/>
  <c r="L74" i="32"/>
  <c r="I88" i="32"/>
  <c r="I83" i="32"/>
  <c r="L73" i="32"/>
  <c r="I81" i="29"/>
  <c r="G82" i="29"/>
  <c r="I82" i="29"/>
  <c r="E97" i="15"/>
  <c r="I84" i="28"/>
  <c r="I81" i="27"/>
  <c r="G82" i="27"/>
  <c r="I82" i="27"/>
  <c r="L75" i="26"/>
  <c r="L78" i="26"/>
  <c r="G83" i="25"/>
  <c r="I89" i="25"/>
  <c r="L74" i="25"/>
  <c r="I81" i="24"/>
  <c r="G82" i="24"/>
  <c r="I82" i="24"/>
  <c r="I81" i="22"/>
  <c r="G82" i="22"/>
  <c r="I82" i="22"/>
  <c r="E90" i="15"/>
  <c r="I84" i="21"/>
  <c r="L75" i="21"/>
  <c r="I88" i="20"/>
  <c r="I83" i="20"/>
  <c r="L73" i="20"/>
  <c r="I89" i="20"/>
  <c r="L74" i="20"/>
  <c r="G83" i="20"/>
  <c r="I88" i="18"/>
  <c r="L73" i="18"/>
  <c r="E100" i="15" a="1"/>
  <c r="E24" i="15" a="1"/>
  <c r="E95" i="15" a="1"/>
  <c r="E16" i="15" a="1"/>
  <c r="E89" i="15" a="1"/>
  <c r="E28" i="15" a="1"/>
  <c r="E30" i="15" a="1"/>
  <c r="E103" i="15" a="1"/>
  <c r="E21" i="15" a="1"/>
  <c r="E101" i="15" a="1"/>
  <c r="I83" i="38"/>
  <c r="I84" i="38"/>
  <c r="G83" i="38"/>
  <c r="L74" i="38"/>
  <c r="L75" i="38"/>
  <c r="G82" i="33"/>
  <c r="I82" i="33"/>
  <c r="L74" i="33"/>
  <c r="I83" i="23"/>
  <c r="I84" i="23"/>
  <c r="G82" i="16"/>
  <c r="I82" i="16"/>
  <c r="I89" i="16"/>
  <c r="L73" i="25"/>
  <c r="L75" i="25"/>
  <c r="L76" i="25"/>
  <c r="I83" i="25"/>
  <c r="I83" i="36"/>
  <c r="I84" i="36"/>
  <c r="L73" i="36"/>
  <c r="G83" i="36"/>
  <c r="L74" i="36"/>
  <c r="L73" i="35"/>
  <c r="I83" i="35"/>
  <c r="I84" i="35"/>
  <c r="G83" i="35"/>
  <c r="L74" i="35"/>
  <c r="I88" i="16"/>
  <c r="L73" i="16"/>
  <c r="G83" i="19"/>
  <c r="G83" i="23"/>
  <c r="I81" i="19"/>
  <c r="I88" i="19"/>
  <c r="I90" i="19"/>
  <c r="L74" i="19"/>
  <c r="E16" i="15"/>
  <c r="E30" i="15"/>
  <c r="E28" i="15"/>
  <c r="E24" i="15"/>
  <c r="E21" i="15"/>
  <c r="J82" i="42"/>
  <c r="L82" i="42"/>
  <c r="L89" i="42"/>
  <c r="L73" i="33"/>
  <c r="L75" i="33"/>
  <c r="L78" i="33"/>
  <c r="L78" i="31"/>
  <c r="L76" i="31"/>
  <c r="E100" i="15"/>
  <c r="L74" i="23"/>
  <c r="L75" i="23"/>
  <c r="L76" i="23"/>
  <c r="I83" i="18"/>
  <c r="G83" i="18"/>
  <c r="L74" i="18"/>
  <c r="L75" i="18"/>
  <c r="L78" i="18"/>
  <c r="E95" i="15"/>
  <c r="I90" i="34"/>
  <c r="I84" i="26"/>
  <c r="I90" i="18"/>
  <c r="L76" i="26"/>
  <c r="L79" i="26"/>
  <c r="J81" i="26"/>
  <c r="L81" i="26"/>
  <c r="L75" i="34"/>
  <c r="L76" i="34"/>
  <c r="L76" i="28"/>
  <c r="L79" i="28"/>
  <c r="J81" i="28"/>
  <c r="L81" i="28"/>
  <c r="I90" i="35"/>
  <c r="I90" i="38"/>
  <c r="L88" i="42"/>
  <c r="O73" i="42"/>
  <c r="I90" i="32"/>
  <c r="L78" i="37"/>
  <c r="L79" i="37"/>
  <c r="J81" i="37"/>
  <c r="I90" i="36"/>
  <c r="E103" i="15"/>
  <c r="I84" i="34"/>
  <c r="E101" i="15"/>
  <c r="L75" i="32"/>
  <c r="L76" i="32"/>
  <c r="I84" i="32"/>
  <c r="G83" i="29"/>
  <c r="I89" i="29"/>
  <c r="L74" i="29"/>
  <c r="I88" i="29"/>
  <c r="I83" i="29"/>
  <c r="L73" i="29"/>
  <c r="I89" i="27"/>
  <c r="L74" i="27"/>
  <c r="G83" i="27"/>
  <c r="I88" i="27"/>
  <c r="I83" i="27"/>
  <c r="L73" i="27"/>
  <c r="I90" i="25"/>
  <c r="G83" i="24"/>
  <c r="I89" i="24"/>
  <c r="L74" i="24"/>
  <c r="I88" i="24"/>
  <c r="I83" i="24"/>
  <c r="L73" i="24"/>
  <c r="I89" i="22"/>
  <c r="L74" i="22"/>
  <c r="G83" i="22"/>
  <c r="I88" i="22"/>
  <c r="I83" i="22"/>
  <c r="L73" i="22"/>
  <c r="L76" i="21"/>
  <c r="L78" i="21"/>
  <c r="E89" i="15"/>
  <c r="I84" i="20"/>
  <c r="I90" i="20"/>
  <c r="L75" i="20"/>
  <c r="E18" i="15" a="1"/>
  <c r="E23" i="15" a="1"/>
  <c r="E15" i="15" a="1"/>
  <c r="E35" i="15" a="1"/>
  <c r="E92" i="15" a="1"/>
  <c r="E32" i="15" a="1"/>
  <c r="E31" i="15" a="1"/>
  <c r="E104" i="15" a="1"/>
  <c r="E94" i="15" a="1"/>
  <c r="E98" i="15" a="1"/>
  <c r="E87" i="15" a="1"/>
  <c r="E14" i="15" a="1"/>
  <c r="E105" i="15" a="1"/>
  <c r="E93" i="15" a="1"/>
  <c r="E20" i="15" a="1"/>
  <c r="E25" i="15" a="1"/>
  <c r="E108" i="15" a="1"/>
  <c r="E91" i="15" a="1"/>
  <c r="E34" i="15" a="1"/>
  <c r="E19" i="15" a="1"/>
  <c r="E96" i="15" a="1"/>
  <c r="E107" i="15" a="1"/>
  <c r="L75" i="27"/>
  <c r="E107" i="15"/>
  <c r="E34" i="15"/>
  <c r="I83" i="33"/>
  <c r="G83" i="33"/>
  <c r="I89" i="33"/>
  <c r="I90" i="33"/>
  <c r="I83" i="19"/>
  <c r="L73" i="19"/>
  <c r="L75" i="19"/>
  <c r="L76" i="19"/>
  <c r="I83" i="16"/>
  <c r="I84" i="16"/>
  <c r="I90" i="16"/>
  <c r="L74" i="16"/>
  <c r="L75" i="16"/>
  <c r="G83" i="16"/>
  <c r="E94" i="15"/>
  <c r="I84" i="25"/>
  <c r="E105" i="15"/>
  <c r="E32" i="15"/>
  <c r="L75" i="36"/>
  <c r="L76" i="36"/>
  <c r="L75" i="35"/>
  <c r="L78" i="35"/>
  <c r="E104" i="15"/>
  <c r="E31" i="15"/>
  <c r="L79" i="31"/>
  <c r="J81" i="31"/>
  <c r="J82" i="31"/>
  <c r="L82" i="31"/>
  <c r="L89" i="31"/>
  <c r="E19" i="15"/>
  <c r="E15" i="15"/>
  <c r="E35" i="15"/>
  <c r="E25" i="15"/>
  <c r="E23" i="15"/>
  <c r="E14" i="15"/>
  <c r="L83" i="42"/>
  <c r="L84" i="42"/>
  <c r="L78" i="32"/>
  <c r="E20" i="15"/>
  <c r="E18" i="15"/>
  <c r="J83" i="42"/>
  <c r="O74" i="42"/>
  <c r="O75" i="42"/>
  <c r="O78" i="42"/>
  <c r="L81" i="37"/>
  <c r="O73" i="37"/>
  <c r="J82" i="37"/>
  <c r="L82" i="37"/>
  <c r="L89" i="37"/>
  <c r="L76" i="33"/>
  <c r="L79" i="33"/>
  <c r="J81" i="33"/>
  <c r="L81" i="33"/>
  <c r="L79" i="32"/>
  <c r="J81" i="32"/>
  <c r="L81" i="32"/>
  <c r="L78" i="23"/>
  <c r="L79" i="23"/>
  <c r="E92" i="15"/>
  <c r="L79" i="21"/>
  <c r="J81" i="21"/>
  <c r="L81" i="21"/>
  <c r="E87" i="15"/>
  <c r="I84" i="18"/>
  <c r="L78" i="34"/>
  <c r="L79" i="34"/>
  <c r="J81" i="34"/>
  <c r="L81" i="34"/>
  <c r="L75" i="24"/>
  <c r="L76" i="24"/>
  <c r="I90" i="24"/>
  <c r="L90" i="42"/>
  <c r="L78" i="25"/>
  <c r="L79" i="25"/>
  <c r="J81" i="25"/>
  <c r="J82" i="26"/>
  <c r="L82" i="26"/>
  <c r="L89" i="26"/>
  <c r="L75" i="29"/>
  <c r="L78" i="29"/>
  <c r="I90" i="27"/>
  <c r="L75" i="22"/>
  <c r="L78" i="22"/>
  <c r="L76" i="18"/>
  <c r="L79" i="18"/>
  <c r="J81" i="18"/>
  <c r="L81" i="18"/>
  <c r="I90" i="22"/>
  <c r="E108" i="15"/>
  <c r="L76" i="38"/>
  <c r="L79" i="38"/>
  <c r="J81" i="38"/>
  <c r="L78" i="38"/>
  <c r="E98" i="15"/>
  <c r="I84" i="29"/>
  <c r="I90" i="29"/>
  <c r="J82" i="28"/>
  <c r="L82" i="28"/>
  <c r="L89" i="28"/>
  <c r="L88" i="28"/>
  <c r="O73" i="28"/>
  <c r="E96" i="15"/>
  <c r="I84" i="27"/>
  <c r="L76" i="27"/>
  <c r="L79" i="27"/>
  <c r="J81" i="27"/>
  <c r="L78" i="27"/>
  <c r="L88" i="26"/>
  <c r="O73" i="26"/>
  <c r="E93" i="15"/>
  <c r="I84" i="24"/>
  <c r="E91" i="15"/>
  <c r="I84" i="22"/>
  <c r="L76" i="20"/>
  <c r="L79" i="20"/>
  <c r="J81" i="20"/>
  <c r="L78" i="20"/>
  <c r="F109" i="15" a="1"/>
  <c r="E102" i="15" a="1"/>
  <c r="E13" i="15" a="1"/>
  <c r="E88" i="15" a="1"/>
  <c r="E29" i="15" a="1"/>
  <c r="E86" i="15" a="1"/>
  <c r="F36" i="15" a="1"/>
  <c r="E102" i="15"/>
  <c r="E29" i="15"/>
  <c r="I84" i="33"/>
  <c r="J81" i="23"/>
  <c r="J82" i="23"/>
  <c r="L82" i="23"/>
  <c r="L89" i="23"/>
  <c r="L78" i="19"/>
  <c r="L79" i="19"/>
  <c r="J81" i="19"/>
  <c r="L81" i="19"/>
  <c r="L88" i="19"/>
  <c r="E88" i="15"/>
  <c r="I84" i="19"/>
  <c r="E86" i="15"/>
  <c r="E13" i="15"/>
  <c r="L81" i="31"/>
  <c r="L83" i="31"/>
  <c r="L84" i="31"/>
  <c r="J83" i="31"/>
  <c r="O74" i="31"/>
  <c r="L78" i="36"/>
  <c r="L79" i="36"/>
  <c r="J81" i="36"/>
  <c r="L81" i="36"/>
  <c r="L88" i="36"/>
  <c r="L76" i="35"/>
  <c r="L79" i="35"/>
  <c r="J81" i="35"/>
  <c r="L81" i="35"/>
  <c r="L76" i="29"/>
  <c r="L79" i="29"/>
  <c r="J81" i="29"/>
  <c r="L76" i="16"/>
  <c r="L79" i="16"/>
  <c r="J81" i="16"/>
  <c r="L78" i="16"/>
  <c r="J83" i="26"/>
  <c r="L83" i="26"/>
  <c r="L84" i="26"/>
  <c r="L88" i="37"/>
  <c r="L90" i="37"/>
  <c r="O74" i="37"/>
  <c r="O75" i="37"/>
  <c r="L83" i="37"/>
  <c r="L84" i="37"/>
  <c r="F36" i="15"/>
  <c r="J83" i="37"/>
  <c r="J82" i="33"/>
  <c r="L82" i="33"/>
  <c r="L83" i="33"/>
  <c r="J82" i="32"/>
  <c r="L82" i="32"/>
  <c r="L83" i="32"/>
  <c r="L81" i="25"/>
  <c r="L88" i="25"/>
  <c r="J82" i="25"/>
  <c r="L82" i="25"/>
  <c r="L89" i="25"/>
  <c r="J82" i="21"/>
  <c r="L82" i="21"/>
  <c r="L83" i="21"/>
  <c r="O74" i="26"/>
  <c r="O75" i="26"/>
  <c r="L90" i="26"/>
  <c r="L76" i="22"/>
  <c r="L79" i="22"/>
  <c r="J81" i="22"/>
  <c r="J82" i="22"/>
  <c r="L82" i="22"/>
  <c r="J82" i="18"/>
  <c r="L82" i="18"/>
  <c r="L83" i="18"/>
  <c r="L78" i="24"/>
  <c r="L79" i="24"/>
  <c r="J81" i="24"/>
  <c r="O76" i="42"/>
  <c r="O79" i="42"/>
  <c r="M81" i="42"/>
  <c r="O81" i="42"/>
  <c r="J82" i="34"/>
  <c r="L82" i="34"/>
  <c r="L89" i="34"/>
  <c r="L90" i="28"/>
  <c r="J83" i="28"/>
  <c r="O74" i="28"/>
  <c r="O75" i="28"/>
  <c r="L83" i="28"/>
  <c r="L84" i="28"/>
  <c r="F109" i="15"/>
  <c r="L81" i="38"/>
  <c r="J82" i="38"/>
  <c r="L82" i="38"/>
  <c r="L88" i="34"/>
  <c r="O73" i="34"/>
  <c r="L88" i="33"/>
  <c r="O73" i="33"/>
  <c r="L88" i="32"/>
  <c r="O73" i="32"/>
  <c r="L81" i="27"/>
  <c r="J82" i="27"/>
  <c r="L82" i="27"/>
  <c r="L88" i="21"/>
  <c r="O73" i="21"/>
  <c r="L81" i="20"/>
  <c r="J82" i="20"/>
  <c r="L82" i="20"/>
  <c r="L88" i="18"/>
  <c r="O73" i="18"/>
  <c r="F90" i="15" a="1"/>
  <c r="F106" i="15" a="1"/>
  <c r="F33" i="15" a="1"/>
  <c r="F87" i="15" a="1"/>
  <c r="F100" i="15" a="1"/>
  <c r="F102" i="15" a="1"/>
  <c r="F95" i="15" a="1"/>
  <c r="F27" i="15" a="1"/>
  <c r="F97" i="15" a="1"/>
  <c r="F101" i="15" a="1"/>
  <c r="F22" i="15" a="1"/>
  <c r="F24" i="15" a="1"/>
  <c r="L81" i="23"/>
  <c r="L83" i="23"/>
  <c r="J82" i="19"/>
  <c r="L82" i="19"/>
  <c r="L89" i="19"/>
  <c r="F100" i="15"/>
  <c r="F27" i="15"/>
  <c r="L88" i="31"/>
  <c r="L90" i="31"/>
  <c r="O73" i="31"/>
  <c r="O75" i="31"/>
  <c r="O78" i="31"/>
  <c r="J82" i="36"/>
  <c r="L82" i="36"/>
  <c r="L89" i="36"/>
  <c r="L90" i="36"/>
  <c r="O73" i="36"/>
  <c r="J82" i="35"/>
  <c r="L82" i="35"/>
  <c r="O74" i="35"/>
  <c r="O74" i="21"/>
  <c r="O75" i="21"/>
  <c r="O78" i="21"/>
  <c r="L89" i="21"/>
  <c r="L90" i="21"/>
  <c r="O76" i="37"/>
  <c r="O79" i="37"/>
  <c r="M81" i="37"/>
  <c r="O81" i="37"/>
  <c r="O78" i="37"/>
  <c r="L81" i="16"/>
  <c r="J82" i="16"/>
  <c r="L82" i="16"/>
  <c r="F95" i="15"/>
  <c r="F22" i="15"/>
  <c r="J83" i="33"/>
  <c r="O74" i="32"/>
  <c r="O75" i="32"/>
  <c r="O76" i="32"/>
  <c r="L81" i="22"/>
  <c r="O73" i="22"/>
  <c r="F106" i="15"/>
  <c r="L89" i="33"/>
  <c r="L90" i="33"/>
  <c r="O74" i="33"/>
  <c r="O75" i="33"/>
  <c r="J83" i="32"/>
  <c r="L89" i="32"/>
  <c r="L90" i="32"/>
  <c r="J83" i="23"/>
  <c r="O74" i="23"/>
  <c r="F33" i="15"/>
  <c r="F24" i="15"/>
  <c r="J83" i="25"/>
  <c r="L83" i="25"/>
  <c r="O74" i="25"/>
  <c r="O73" i="25"/>
  <c r="J82" i="24"/>
  <c r="L82" i="24"/>
  <c r="L89" i="24"/>
  <c r="L81" i="24"/>
  <c r="O73" i="24"/>
  <c r="O73" i="23"/>
  <c r="J83" i="21"/>
  <c r="O73" i="19"/>
  <c r="J83" i="19"/>
  <c r="O76" i="26"/>
  <c r="O78" i="26"/>
  <c r="M82" i="42"/>
  <c r="O82" i="42"/>
  <c r="O89" i="42"/>
  <c r="L83" i="34"/>
  <c r="L84" i="34"/>
  <c r="L90" i="34"/>
  <c r="O74" i="34"/>
  <c r="O75" i="34"/>
  <c r="O76" i="34"/>
  <c r="J83" i="34"/>
  <c r="L89" i="18"/>
  <c r="L90" i="18"/>
  <c r="O74" i="18"/>
  <c r="O75" i="18"/>
  <c r="J83" i="18"/>
  <c r="O88" i="42"/>
  <c r="F97" i="15"/>
  <c r="O78" i="28"/>
  <c r="O76" i="28"/>
  <c r="O79" i="28"/>
  <c r="M81" i="28"/>
  <c r="M82" i="28"/>
  <c r="O82" i="28"/>
  <c r="O89" i="28"/>
  <c r="L89" i="38"/>
  <c r="O74" i="38"/>
  <c r="L88" i="38"/>
  <c r="L83" i="38"/>
  <c r="O73" i="38"/>
  <c r="J83" i="38"/>
  <c r="L88" i="35"/>
  <c r="O73" i="35"/>
  <c r="F102" i="15"/>
  <c r="L84" i="33"/>
  <c r="F101" i="15"/>
  <c r="L84" i="32"/>
  <c r="L81" i="29"/>
  <c r="J82" i="29"/>
  <c r="L82" i="29"/>
  <c r="L89" i="27"/>
  <c r="O74" i="27"/>
  <c r="L88" i="27"/>
  <c r="L83" i="27"/>
  <c r="O73" i="27"/>
  <c r="J83" i="27"/>
  <c r="L90" i="25"/>
  <c r="L89" i="22"/>
  <c r="O74" i="22"/>
  <c r="J83" i="22"/>
  <c r="F90" i="15"/>
  <c r="L84" i="21"/>
  <c r="L89" i="20"/>
  <c r="O74" i="20"/>
  <c r="L88" i="20"/>
  <c r="L83" i="20"/>
  <c r="O73" i="20"/>
  <c r="J83" i="20"/>
  <c r="L90" i="19"/>
  <c r="F87" i="15"/>
  <c r="L84" i="18"/>
  <c r="F30" i="15" a="1"/>
  <c r="F108" i="15" a="1"/>
  <c r="F23" i="15" a="1"/>
  <c r="F16" i="15" a="1"/>
  <c r="F34" i="15" a="1"/>
  <c r="F35" i="15" a="1"/>
  <c r="F92" i="15" a="1"/>
  <c r="F28" i="15" a="1"/>
  <c r="F21" i="15" a="1"/>
  <c r="F19" i="15" a="1"/>
  <c r="F96" i="15" a="1"/>
  <c r="F89" i="15" a="1"/>
  <c r="F29" i="15" a="1"/>
  <c r="F14" i="15" a="1"/>
  <c r="F94" i="15" a="1"/>
  <c r="F107" i="15" a="1"/>
  <c r="F17" i="15" a="1"/>
  <c r="F15" i="15" a="1"/>
  <c r="F103" i="15" a="1"/>
  <c r="F18" i="15" a="1"/>
  <c r="O75" i="27"/>
  <c r="L90" i="38"/>
  <c r="O79" i="26"/>
  <c r="M81" i="26"/>
  <c r="O81" i="26"/>
  <c r="O88" i="26"/>
  <c r="L88" i="23"/>
  <c r="L90" i="23"/>
  <c r="L83" i="19"/>
  <c r="O74" i="19"/>
  <c r="O75" i="19"/>
  <c r="O76" i="19"/>
  <c r="O79" i="19"/>
  <c r="M81" i="19"/>
  <c r="O81" i="19"/>
  <c r="O76" i="31"/>
  <c r="O79" i="31"/>
  <c r="M81" i="31"/>
  <c r="O81" i="31"/>
  <c r="O88" i="31"/>
  <c r="L83" i="36"/>
  <c r="O74" i="36"/>
  <c r="O75" i="36"/>
  <c r="O76" i="36"/>
  <c r="J83" i="36"/>
  <c r="J83" i="35"/>
  <c r="L89" i="35"/>
  <c r="L90" i="35"/>
  <c r="L83" i="35"/>
  <c r="L83" i="22"/>
  <c r="L88" i="22"/>
  <c r="L90" i="22"/>
  <c r="O75" i="23"/>
  <c r="O78" i="23"/>
  <c r="J83" i="16"/>
  <c r="L83" i="16"/>
  <c r="L89" i="16"/>
  <c r="O74" i="16"/>
  <c r="L88" i="16"/>
  <c r="O73" i="16"/>
  <c r="O75" i="25"/>
  <c r="O76" i="25"/>
  <c r="F29" i="15"/>
  <c r="F35" i="15"/>
  <c r="F34" i="15"/>
  <c r="O76" i="33"/>
  <c r="O78" i="33"/>
  <c r="F28" i="15"/>
  <c r="O81" i="28"/>
  <c r="O83" i="28"/>
  <c r="F23" i="15"/>
  <c r="F19" i="15"/>
  <c r="F92" i="15"/>
  <c r="L84" i="23"/>
  <c r="F17" i="15"/>
  <c r="F16" i="15"/>
  <c r="L90" i="20"/>
  <c r="F14" i="15"/>
  <c r="F30" i="15"/>
  <c r="F21" i="15"/>
  <c r="L88" i="24"/>
  <c r="L90" i="24"/>
  <c r="O74" i="24"/>
  <c r="O75" i="24"/>
  <c r="O78" i="24"/>
  <c r="L83" i="24"/>
  <c r="L84" i="24"/>
  <c r="F18" i="15"/>
  <c r="F15" i="15"/>
  <c r="O83" i="42"/>
  <c r="O84" i="42"/>
  <c r="O90" i="42"/>
  <c r="M83" i="42"/>
  <c r="M82" i="37"/>
  <c r="O82" i="37"/>
  <c r="O89" i="37"/>
  <c r="O78" i="32"/>
  <c r="O79" i="32"/>
  <c r="M81" i="32"/>
  <c r="F94" i="15"/>
  <c r="L84" i="25"/>
  <c r="J83" i="24"/>
  <c r="O76" i="21"/>
  <c r="O79" i="21"/>
  <c r="M81" i="21"/>
  <c r="O81" i="21"/>
  <c r="F103" i="15"/>
  <c r="L90" i="27"/>
  <c r="O75" i="20"/>
  <c r="O76" i="20"/>
  <c r="O79" i="20"/>
  <c r="M81" i="20"/>
  <c r="O78" i="34"/>
  <c r="O79" i="34"/>
  <c r="M81" i="34"/>
  <c r="O75" i="35"/>
  <c r="O76" i="35"/>
  <c r="F108" i="15"/>
  <c r="F107" i="15"/>
  <c r="L84" i="38"/>
  <c r="O75" i="38"/>
  <c r="O88" i="37"/>
  <c r="L84" i="35"/>
  <c r="L89" i="29"/>
  <c r="O74" i="29"/>
  <c r="L88" i="29"/>
  <c r="L83" i="29"/>
  <c r="O73" i="29"/>
  <c r="J83" i="29"/>
  <c r="M83" i="28"/>
  <c r="F96" i="15"/>
  <c r="L84" i="27"/>
  <c r="O76" i="27"/>
  <c r="O79" i="27"/>
  <c r="M81" i="27"/>
  <c r="O78" i="27"/>
  <c r="O75" i="22"/>
  <c r="F89" i="15"/>
  <c r="L84" i="20"/>
  <c r="O76" i="18"/>
  <c r="O79" i="18"/>
  <c r="M81" i="18"/>
  <c r="O78" i="18"/>
  <c r="F91" i="15" a="1"/>
  <c r="G36" i="15" a="1"/>
  <c r="G97" i="15" a="1"/>
  <c r="F88" i="15" a="1"/>
  <c r="F32" i="15" a="1"/>
  <c r="G109" i="15" a="1"/>
  <c r="F98" i="15" a="1"/>
  <c r="F13" i="15" a="1"/>
  <c r="F93" i="15" a="1"/>
  <c r="F104" i="15" a="1"/>
  <c r="F86" i="15" a="1"/>
  <c r="F20" i="15" a="1"/>
  <c r="G24" i="15" a="1"/>
  <c r="F25" i="15" a="1"/>
  <c r="F31" i="15" a="1"/>
  <c r="F105" i="15" a="1"/>
  <c r="O79" i="33"/>
  <c r="M81" i="33"/>
  <c r="M82" i="33"/>
  <c r="O82" i="33"/>
  <c r="O89" i="33"/>
  <c r="M82" i="26"/>
  <c r="O82" i="26"/>
  <c r="O89" i="26"/>
  <c r="O90" i="26"/>
  <c r="O76" i="23"/>
  <c r="O79" i="23"/>
  <c r="M81" i="23"/>
  <c r="F88" i="15"/>
  <c r="L84" i="19"/>
  <c r="M82" i="31"/>
  <c r="O82" i="31"/>
  <c r="O89" i="31"/>
  <c r="O90" i="31"/>
  <c r="O78" i="25"/>
  <c r="O79" i="25"/>
  <c r="M81" i="25"/>
  <c r="O78" i="36"/>
  <c r="O79" i="36"/>
  <c r="M81" i="36"/>
  <c r="O81" i="36"/>
  <c r="O88" i="36"/>
  <c r="F32" i="15"/>
  <c r="F105" i="15"/>
  <c r="L84" i="36"/>
  <c r="F31" i="15"/>
  <c r="F104" i="15"/>
  <c r="F91" i="15"/>
  <c r="L84" i="22"/>
  <c r="F13" i="15"/>
  <c r="F86" i="15"/>
  <c r="O75" i="16"/>
  <c r="L90" i="16"/>
  <c r="L84" i="16"/>
  <c r="M82" i="21"/>
  <c r="O82" i="21"/>
  <c r="O89" i="21"/>
  <c r="O88" i="28"/>
  <c r="O90" i="28"/>
  <c r="F25" i="15"/>
  <c r="O75" i="29"/>
  <c r="O76" i="29"/>
  <c r="O78" i="20"/>
  <c r="G36" i="15"/>
  <c r="O83" i="37"/>
  <c r="O84" i="37"/>
  <c r="O78" i="35"/>
  <c r="O79" i="35"/>
  <c r="M81" i="35"/>
  <c r="G24" i="15"/>
  <c r="F20" i="15"/>
  <c r="F93" i="15"/>
  <c r="M83" i="37"/>
  <c r="O90" i="37"/>
  <c r="O81" i="34"/>
  <c r="O88" i="34"/>
  <c r="M82" i="34"/>
  <c r="O82" i="34"/>
  <c r="O89" i="34"/>
  <c r="O81" i="32"/>
  <c r="M82" i="32"/>
  <c r="O82" i="32"/>
  <c r="O89" i="32"/>
  <c r="O76" i="24"/>
  <c r="O79" i="24"/>
  <c r="M81" i="24"/>
  <c r="M82" i="24"/>
  <c r="O82" i="24"/>
  <c r="O89" i="24"/>
  <c r="M82" i="19"/>
  <c r="O82" i="19"/>
  <c r="O89" i="19"/>
  <c r="O78" i="19"/>
  <c r="L90" i="29"/>
  <c r="G109" i="15"/>
  <c r="O76" i="38"/>
  <c r="O79" i="38"/>
  <c r="M81" i="38"/>
  <c r="O78" i="38"/>
  <c r="F98" i="15"/>
  <c r="L84" i="29"/>
  <c r="G97" i="15"/>
  <c r="O84" i="28"/>
  <c r="O81" i="27"/>
  <c r="M82" i="27"/>
  <c r="O82" i="27"/>
  <c r="O89" i="27"/>
  <c r="O76" i="22"/>
  <c r="O78" i="22"/>
  <c r="O88" i="21"/>
  <c r="O81" i="20"/>
  <c r="M82" i="20"/>
  <c r="O82" i="20"/>
  <c r="O89" i="20"/>
  <c r="O88" i="19"/>
  <c r="O81" i="18"/>
  <c r="M82" i="18"/>
  <c r="O82" i="18"/>
  <c r="O89" i="18"/>
  <c r="G33" i="15" a="1"/>
  <c r="G106" i="15" a="1"/>
  <c r="O79" i="29"/>
  <c r="M81" i="29"/>
  <c r="O81" i="29"/>
  <c r="M83" i="26"/>
  <c r="O83" i="26"/>
  <c r="O81" i="23"/>
  <c r="O88" i="23"/>
  <c r="M82" i="23"/>
  <c r="O82" i="23"/>
  <c r="O89" i="23"/>
  <c r="O90" i="23"/>
  <c r="O83" i="31"/>
  <c r="M83" i="31"/>
  <c r="M82" i="25"/>
  <c r="O82" i="25"/>
  <c r="O89" i="25"/>
  <c r="O81" i="25"/>
  <c r="O88" i="25"/>
  <c r="O90" i="25"/>
  <c r="M82" i="36"/>
  <c r="O82" i="36"/>
  <c r="O89" i="36"/>
  <c r="O90" i="36"/>
  <c r="M82" i="35"/>
  <c r="O82" i="35"/>
  <c r="O89" i="35"/>
  <c r="O81" i="35"/>
  <c r="O88" i="35"/>
  <c r="O79" i="22"/>
  <c r="M81" i="22"/>
  <c r="O81" i="22"/>
  <c r="M83" i="21"/>
  <c r="O83" i="21"/>
  <c r="O84" i="21"/>
  <c r="O90" i="21"/>
  <c r="M83" i="33"/>
  <c r="O81" i="33"/>
  <c r="O76" i="16"/>
  <c r="O78" i="16"/>
  <c r="O78" i="29"/>
  <c r="G33" i="15"/>
  <c r="G106" i="15"/>
  <c r="M83" i="32"/>
  <c r="M83" i="34"/>
  <c r="O90" i="34"/>
  <c r="O83" i="34"/>
  <c r="O83" i="32"/>
  <c r="O88" i="32"/>
  <c r="O90" i="32"/>
  <c r="O81" i="24"/>
  <c r="O88" i="24"/>
  <c r="O90" i="24"/>
  <c r="M83" i="19"/>
  <c r="O83" i="19"/>
  <c r="O90" i="19"/>
  <c r="O81" i="38"/>
  <c r="M82" i="38"/>
  <c r="O82" i="38"/>
  <c r="O89" i="38"/>
  <c r="O88" i="27"/>
  <c r="O90" i="27"/>
  <c r="O83" i="27"/>
  <c r="M83" i="27"/>
  <c r="M83" i="24"/>
  <c r="O88" i="20"/>
  <c r="O90" i="20"/>
  <c r="O83" i="20"/>
  <c r="M83" i="20"/>
  <c r="O88" i="18"/>
  <c r="O90" i="18"/>
  <c r="O83" i="18"/>
  <c r="M83" i="18"/>
  <c r="G95" i="15" a="1"/>
  <c r="G22" i="15" a="1"/>
  <c r="G108" i="15" a="1"/>
  <c r="G29" i="15" a="1"/>
  <c r="G89" i="15" a="1"/>
  <c r="G20" i="15" a="1"/>
  <c r="G100" i="15" a="1"/>
  <c r="G16" i="15" a="1"/>
  <c r="G23" i="15" a="1"/>
  <c r="G90" i="15" a="1"/>
  <c r="G101" i="15" a="1"/>
  <c r="G35" i="15" a="1"/>
  <c r="G96" i="15" a="1"/>
  <c r="G28" i="15" a="1"/>
  <c r="G17" i="15" a="1"/>
  <c r="G103" i="15" a="1"/>
  <c r="G15" i="15" a="1"/>
  <c r="G87" i="15" a="1"/>
  <c r="G88" i="15" a="1"/>
  <c r="G14" i="15" a="1"/>
  <c r="G27" i="15" a="1"/>
  <c r="G30" i="15" a="1"/>
  <c r="M82" i="29"/>
  <c r="O82" i="29"/>
  <c r="O89" i="29"/>
  <c r="G22" i="15"/>
  <c r="G95" i="15"/>
  <c r="O84" i="26"/>
  <c r="M83" i="23"/>
  <c r="O83" i="23"/>
  <c r="G27" i="15"/>
  <c r="G100" i="15"/>
  <c r="O84" i="31"/>
  <c r="O83" i="25"/>
  <c r="M83" i="25"/>
  <c r="O83" i="36"/>
  <c r="M83" i="36"/>
  <c r="O90" i="35"/>
  <c r="M83" i="35"/>
  <c r="O83" i="35"/>
  <c r="M82" i="22"/>
  <c r="O82" i="22"/>
  <c r="O89" i="22"/>
  <c r="G17" i="15"/>
  <c r="G90" i="15"/>
  <c r="G29" i="15"/>
  <c r="O83" i="33"/>
  <c r="O88" i="33"/>
  <c r="O90" i="33"/>
  <c r="O79" i="16"/>
  <c r="M81" i="16"/>
  <c r="M82" i="16"/>
  <c r="O82" i="16"/>
  <c r="O89" i="16"/>
  <c r="G35" i="15"/>
  <c r="G23" i="15"/>
  <c r="G16" i="15"/>
  <c r="G14" i="15"/>
  <c r="G30" i="15"/>
  <c r="G28" i="15"/>
  <c r="G20" i="15"/>
  <c r="G15" i="15"/>
  <c r="G103" i="15"/>
  <c r="O84" i="34"/>
  <c r="G101" i="15"/>
  <c r="O84" i="32"/>
  <c r="O83" i="24"/>
  <c r="O84" i="24"/>
  <c r="G88" i="15"/>
  <c r="O84" i="19"/>
  <c r="G108" i="15"/>
  <c r="O88" i="38"/>
  <c r="O90" i="38"/>
  <c r="O83" i="38"/>
  <c r="M83" i="38"/>
  <c r="O88" i="29"/>
  <c r="G96" i="15"/>
  <c r="O84" i="27"/>
  <c r="O88" i="22"/>
  <c r="G89" i="15"/>
  <c r="O84" i="20"/>
  <c r="G87" i="15"/>
  <c r="O84" i="18"/>
  <c r="G105" i="15" a="1"/>
  <c r="G94" i="15" a="1"/>
  <c r="G107" i="15" a="1"/>
  <c r="G104" i="15" a="1"/>
  <c r="G32" i="15" a="1"/>
  <c r="G102" i="15" a="1"/>
  <c r="G31" i="15" a="1"/>
  <c r="G92" i="15" a="1"/>
  <c r="G34" i="15" a="1"/>
  <c r="G21" i="15" a="1"/>
  <c r="G93" i="15" a="1"/>
  <c r="G19" i="15" a="1"/>
  <c r="O83" i="29"/>
  <c r="M83" i="29"/>
  <c r="O90" i="29"/>
  <c r="G92" i="15"/>
  <c r="G19" i="15"/>
  <c r="O84" i="23"/>
  <c r="O81" i="16"/>
  <c r="O83" i="16"/>
  <c r="G94" i="15"/>
  <c r="O84" i="25"/>
  <c r="G21" i="15"/>
  <c r="G105" i="15"/>
  <c r="G32" i="15"/>
  <c r="O84" i="36"/>
  <c r="G31" i="15"/>
  <c r="G104" i="15"/>
  <c r="O84" i="35"/>
  <c r="M83" i="22"/>
  <c r="O83" i="22"/>
  <c r="O84" i="22"/>
  <c r="O90" i="22"/>
  <c r="G102" i="15"/>
  <c r="O84" i="33"/>
  <c r="M83" i="16"/>
  <c r="G34" i="15"/>
  <c r="G93" i="15"/>
  <c r="G107" i="15"/>
  <c r="O84" i="38"/>
  <c r="G86" i="15" a="1"/>
  <c r="G18" i="15" a="1"/>
  <c r="G91" i="15" a="1"/>
  <c r="G98" i="15" a="1"/>
  <c r="G25" i="15" a="1"/>
  <c r="G13" i="15" a="1"/>
  <c r="G98" i="15"/>
  <c r="G25" i="15"/>
  <c r="O84" i="29"/>
  <c r="O88" i="16"/>
  <c r="O90" i="16"/>
  <c r="G18" i="15"/>
  <c r="G91" i="15"/>
  <c r="G86" i="15"/>
  <c r="G13" i="15"/>
  <c r="O84" i="16"/>
  <c r="F92" i="14"/>
  <c r="O46" i="14"/>
  <c r="I46" i="14"/>
  <c r="N98" i="14"/>
  <c r="I44" i="14"/>
  <c r="O43" i="14"/>
  <c r="L43" i="14"/>
  <c r="I43" i="14"/>
  <c r="L42" i="14"/>
  <c r="L41" i="14"/>
  <c r="O39" i="14"/>
  <c r="L39" i="14"/>
  <c r="I39" i="14"/>
  <c r="F39" i="14"/>
  <c r="O36" i="14"/>
  <c r="L36" i="14"/>
  <c r="I36" i="14"/>
  <c r="F36" i="14"/>
  <c r="O35" i="14"/>
  <c r="L34" i="14"/>
  <c r="F34" i="14"/>
  <c r="I33" i="14"/>
  <c r="L29" i="14"/>
  <c r="I29" i="14"/>
  <c r="L28" i="14"/>
  <c r="I28" i="14"/>
  <c r="F28" i="14"/>
  <c r="O27" i="14"/>
  <c r="L26" i="14"/>
  <c r="H30" i="14"/>
  <c r="L25" i="14"/>
  <c r="I25" i="14"/>
  <c r="F25" i="14"/>
  <c r="L22" i="14"/>
  <c r="I22" i="14"/>
  <c r="L19" i="14"/>
  <c r="I19" i="14"/>
  <c r="O18" i="14"/>
  <c r="L18" i="14"/>
  <c r="O17" i="14"/>
  <c r="O16" i="14"/>
  <c r="L16" i="14"/>
  <c r="I16" i="14"/>
  <c r="F16" i="14"/>
  <c r="O15" i="14"/>
  <c r="L14" i="14"/>
  <c r="I14" i="14"/>
  <c r="F14" i="14"/>
  <c r="O12" i="14"/>
  <c r="L12" i="14"/>
  <c r="I12" i="14"/>
  <c r="F12" i="14"/>
  <c r="F11" i="14"/>
  <c r="O10" i="14"/>
  <c r="L10" i="14"/>
  <c r="I10" i="14"/>
  <c r="F10" i="14"/>
  <c r="O9" i="14"/>
  <c r="F9" i="14"/>
  <c r="L8" i="14"/>
  <c r="I8" i="14"/>
  <c r="F8" i="14"/>
  <c r="O7" i="14"/>
  <c r="F7" i="14"/>
  <c r="M4" i="14"/>
  <c r="O92" i="14"/>
  <c r="L92" i="14"/>
  <c r="O44" i="14"/>
  <c r="L44" i="14"/>
  <c r="O42" i="14"/>
  <c r="I42" i="14"/>
  <c r="O41" i="14"/>
  <c r="I41" i="14"/>
  <c r="O38" i="14"/>
  <c r="L38" i="14"/>
  <c r="I35" i="14"/>
  <c r="I34" i="14"/>
  <c r="O33" i="14"/>
  <c r="M32" i="14"/>
  <c r="H32" i="14"/>
  <c r="E32" i="14"/>
  <c r="O29" i="14"/>
  <c r="O28" i="14"/>
  <c r="I27" i="14"/>
  <c r="N30" i="14"/>
  <c r="O26" i="14"/>
  <c r="K30" i="14"/>
  <c r="G30" i="14"/>
  <c r="D30" i="14"/>
  <c r="O25" i="14"/>
  <c r="O22" i="14"/>
  <c r="O20" i="14"/>
  <c r="O98" i="14"/>
  <c r="I20" i="14"/>
  <c r="I98" i="14"/>
  <c r="O19" i="14"/>
  <c r="I17" i="14"/>
  <c r="F17" i="14"/>
  <c r="I15" i="14"/>
  <c r="O13" i="14"/>
  <c r="I13" i="14"/>
  <c r="I11" i="14"/>
  <c r="I9" i="14"/>
  <c r="I7" i="14"/>
  <c r="O6" i="14"/>
  <c r="G37" i="14"/>
  <c r="I37" i="14"/>
  <c r="O46" i="13"/>
  <c r="I44" i="13"/>
  <c r="O43" i="13"/>
  <c r="L43" i="13"/>
  <c r="O42" i="13"/>
  <c r="I42" i="13"/>
  <c r="L41" i="13"/>
  <c r="I41" i="13"/>
  <c r="O39" i="13"/>
  <c r="L38" i="13"/>
  <c r="I38" i="13"/>
  <c r="O36" i="13"/>
  <c r="F36" i="13"/>
  <c r="I35" i="13"/>
  <c r="O34" i="13"/>
  <c r="F34" i="13"/>
  <c r="O33" i="13"/>
  <c r="H32" i="13"/>
  <c r="L29" i="13"/>
  <c r="O28" i="13"/>
  <c r="I28" i="13"/>
  <c r="O27" i="13"/>
  <c r="L27" i="13"/>
  <c r="I27" i="13"/>
  <c r="I26" i="13"/>
  <c r="L25" i="13"/>
  <c r="L22" i="13"/>
  <c r="N98" i="13"/>
  <c r="I18" i="13"/>
  <c r="O17" i="13"/>
  <c r="I17" i="13"/>
  <c r="O16" i="13"/>
  <c r="I16" i="13"/>
  <c r="F16" i="13"/>
  <c r="O15" i="13"/>
  <c r="I14" i="13"/>
  <c r="F14" i="13"/>
  <c r="O13" i="13"/>
  <c r="I13" i="13"/>
  <c r="F13" i="13"/>
  <c r="O12" i="13"/>
  <c r="F12" i="13"/>
  <c r="O11" i="13"/>
  <c r="I11" i="13"/>
  <c r="O10" i="13"/>
  <c r="I10" i="13"/>
  <c r="F10" i="13"/>
  <c r="O9" i="13"/>
  <c r="F8" i="13"/>
  <c r="O7" i="13"/>
  <c r="I7" i="13"/>
  <c r="F7" i="13"/>
  <c r="J4" i="13"/>
  <c r="L92" i="13"/>
  <c r="I46" i="13"/>
  <c r="O44" i="13"/>
  <c r="L44" i="13"/>
  <c r="I43" i="13"/>
  <c r="F42" i="13"/>
  <c r="O41" i="13"/>
  <c r="L39" i="13"/>
  <c r="I39" i="13"/>
  <c r="F38" i="13"/>
  <c r="I36" i="13"/>
  <c r="F35" i="13"/>
  <c r="I34" i="13"/>
  <c r="F33" i="13"/>
  <c r="O29" i="13"/>
  <c r="L28" i="13"/>
  <c r="F27" i="13"/>
  <c r="N30" i="13"/>
  <c r="O26" i="13"/>
  <c r="H30" i="13"/>
  <c r="F25" i="13"/>
  <c r="O22" i="13"/>
  <c r="I22" i="13"/>
  <c r="F20" i="13"/>
  <c r="L18" i="13"/>
  <c r="F18" i="13"/>
  <c r="F17" i="13"/>
  <c r="L15" i="13"/>
  <c r="I15" i="13"/>
  <c r="F15" i="13"/>
  <c r="O14" i="13"/>
  <c r="I12" i="13"/>
  <c r="F11" i="13"/>
  <c r="L9" i="13"/>
  <c r="I9" i="13"/>
  <c r="F9" i="13"/>
  <c r="O8" i="13"/>
  <c r="I8" i="13"/>
  <c r="F92" i="12"/>
  <c r="O44" i="12"/>
  <c r="L44" i="12"/>
  <c r="O43" i="12"/>
  <c r="I42" i="12"/>
  <c r="O41" i="12"/>
  <c r="L41" i="12"/>
  <c r="O38" i="12"/>
  <c r="I36" i="12"/>
  <c r="I35" i="12"/>
  <c r="O34" i="12"/>
  <c r="F34" i="12"/>
  <c r="L33" i="12"/>
  <c r="F33" i="12"/>
  <c r="O29" i="12"/>
  <c r="I29" i="12"/>
  <c r="L28" i="12"/>
  <c r="O27" i="12"/>
  <c r="K30" i="12"/>
  <c r="L26" i="12"/>
  <c r="H30" i="12"/>
  <c r="O22" i="12"/>
  <c r="L22" i="12"/>
  <c r="N98" i="12"/>
  <c r="I20" i="12"/>
  <c r="F20" i="12"/>
  <c r="I19" i="12"/>
  <c r="F18" i="12"/>
  <c r="F17" i="12"/>
  <c r="I16" i="12"/>
  <c r="L15" i="12"/>
  <c r="I15" i="12"/>
  <c r="I14" i="12"/>
  <c r="F14" i="12"/>
  <c r="O13" i="12"/>
  <c r="L13" i="12"/>
  <c r="F13" i="12"/>
  <c r="I12" i="12"/>
  <c r="L11" i="12"/>
  <c r="F11" i="12"/>
  <c r="I10" i="12"/>
  <c r="L9" i="12"/>
  <c r="I9" i="12"/>
  <c r="I8" i="12"/>
  <c r="F8" i="12"/>
  <c r="L7" i="12"/>
  <c r="F7" i="12"/>
  <c r="M4" i="12"/>
  <c r="M37" i="12"/>
  <c r="O92" i="12"/>
  <c r="I92" i="12"/>
  <c r="O46" i="12"/>
  <c r="I44" i="12"/>
  <c r="L43" i="12"/>
  <c r="I43" i="12"/>
  <c r="O42" i="12"/>
  <c r="L42" i="12"/>
  <c r="F42" i="12"/>
  <c r="I41" i="12"/>
  <c r="L39" i="12"/>
  <c r="I39" i="12"/>
  <c r="L38" i="12"/>
  <c r="O36" i="12"/>
  <c r="F36" i="12"/>
  <c r="O35" i="12"/>
  <c r="F35" i="12"/>
  <c r="I34" i="12"/>
  <c r="O33" i="12"/>
  <c r="M31" i="12"/>
  <c r="O31" i="12"/>
  <c r="L29" i="12"/>
  <c r="O28" i="12"/>
  <c r="I28" i="12"/>
  <c r="L27" i="12"/>
  <c r="I27" i="12"/>
  <c r="N30" i="12"/>
  <c r="F26" i="12"/>
  <c r="I22" i="12"/>
  <c r="O17" i="12"/>
  <c r="I17" i="12"/>
  <c r="F16" i="12"/>
  <c r="O15" i="12"/>
  <c r="F15" i="12"/>
  <c r="I13" i="12"/>
  <c r="F12" i="12"/>
  <c r="O11" i="12"/>
  <c r="I11" i="12"/>
  <c r="F10" i="12"/>
  <c r="O9" i="12"/>
  <c r="F9" i="12"/>
  <c r="I7" i="12"/>
  <c r="D23" i="12"/>
  <c r="J37" i="12"/>
  <c r="L37" i="12"/>
  <c r="O92" i="11"/>
  <c r="L46" i="11"/>
  <c r="O44" i="11"/>
  <c r="I44" i="11"/>
  <c r="O42" i="11"/>
  <c r="L42" i="11"/>
  <c r="I42" i="11"/>
  <c r="I39" i="11"/>
  <c r="O38" i="11"/>
  <c r="I36" i="11"/>
  <c r="F36" i="11"/>
  <c r="I35" i="11"/>
  <c r="F35" i="11"/>
  <c r="M32" i="11"/>
  <c r="F34" i="11"/>
  <c r="L33" i="11"/>
  <c r="E32" i="11"/>
  <c r="F29" i="11"/>
  <c r="O27" i="11"/>
  <c r="F27" i="11"/>
  <c r="H30" i="11"/>
  <c r="E30" i="11"/>
  <c r="O22" i="11"/>
  <c r="L22" i="11"/>
  <c r="I22" i="11"/>
  <c r="L19" i="11"/>
  <c r="F19" i="11"/>
  <c r="I18" i="11"/>
  <c r="O17" i="11"/>
  <c r="F17" i="11"/>
  <c r="I14" i="11"/>
  <c r="L13" i="11"/>
  <c r="I13" i="11"/>
  <c r="L11" i="11"/>
  <c r="F10" i="11"/>
  <c r="L9" i="11"/>
  <c r="I9" i="11"/>
  <c r="F8" i="11"/>
  <c r="L7" i="11"/>
  <c r="I7" i="11"/>
  <c r="J4" i="11"/>
  <c r="M37" i="11"/>
  <c r="L92" i="11"/>
  <c r="O46" i="11"/>
  <c r="L44" i="11"/>
  <c r="I43" i="11"/>
  <c r="O41" i="11"/>
  <c r="L41" i="11"/>
  <c r="I41" i="11"/>
  <c r="L38" i="11"/>
  <c r="I38" i="11"/>
  <c r="O36" i="11"/>
  <c r="L36" i="11"/>
  <c r="O35" i="11"/>
  <c r="O33" i="11"/>
  <c r="G32" i="11"/>
  <c r="D32" i="11"/>
  <c r="L29" i="11"/>
  <c r="I29" i="11"/>
  <c r="I28" i="11"/>
  <c r="L27" i="11"/>
  <c r="I27" i="11"/>
  <c r="M23" i="11"/>
  <c r="N21" i="11"/>
  <c r="L20" i="11"/>
  <c r="O18" i="11"/>
  <c r="L18" i="11"/>
  <c r="I17" i="11"/>
  <c r="O15" i="11"/>
  <c r="L15" i="11"/>
  <c r="I15" i="11"/>
  <c r="O14" i="11"/>
  <c r="O12" i="11"/>
  <c r="O11" i="11"/>
  <c r="I11" i="11"/>
  <c r="O9" i="11"/>
  <c r="O8" i="11"/>
  <c r="O6" i="11"/>
  <c r="J23" i="11"/>
  <c r="K21" i="11"/>
  <c r="D119" i="15" a="1"/>
  <c r="F120" i="15" a="1"/>
  <c r="E121" i="15" a="1"/>
  <c r="F119" i="15" a="1"/>
  <c r="D156" i="15" a="1"/>
  <c r="G158" i="15" a="1"/>
  <c r="E156" i="15" a="1"/>
  <c r="F122" i="15" a="1"/>
  <c r="G156" i="15" a="1"/>
  <c r="G121" i="15" a="1"/>
  <c r="D121" i="15" a="1"/>
  <c r="E157" i="15" a="1"/>
  <c r="E122" i="15" a="1"/>
  <c r="D158" i="15" a="1"/>
  <c r="D122" i="15" a="1"/>
  <c r="E120" i="15" a="1"/>
  <c r="G119" i="15" a="1"/>
  <c r="D157" i="15" a="1"/>
  <c r="G122" i="15" a="1"/>
  <c r="G155" i="15" a="1"/>
  <c r="D155" i="15" a="1"/>
  <c r="D120" i="15" a="1"/>
  <c r="G157" i="15" a="1"/>
  <c r="F155" i="15" a="1"/>
  <c r="F121" i="15" a="1"/>
  <c r="G120" i="15" a="1"/>
  <c r="F157" i="15" a="1"/>
  <c r="E155" i="15" a="1"/>
  <c r="F156" i="15" a="1"/>
  <c r="E119" i="15" a="1"/>
  <c r="L98" i="11"/>
  <c r="D121" i="15"/>
  <c r="E122" i="15"/>
  <c r="D157" i="15"/>
  <c r="F122" i="15"/>
  <c r="E121" i="15"/>
  <c r="G122" i="15"/>
  <c r="G158" i="15"/>
  <c r="E157" i="15"/>
  <c r="F121" i="15"/>
  <c r="F157" i="15"/>
  <c r="G157" i="15"/>
  <c r="G121" i="15"/>
  <c r="D158" i="15"/>
  <c r="D119" i="15"/>
  <c r="E119" i="15"/>
  <c r="D156" i="15"/>
  <c r="D155" i="15"/>
  <c r="E155" i="15"/>
  <c r="D120" i="15"/>
  <c r="E120" i="15"/>
  <c r="F119" i="15"/>
  <c r="E156" i="15"/>
  <c r="F155" i="15"/>
  <c r="G155" i="15"/>
  <c r="G119" i="15"/>
  <c r="F120" i="15"/>
  <c r="F156" i="15"/>
  <c r="G120" i="15"/>
  <c r="G156" i="15"/>
  <c r="D122" i="15"/>
  <c r="G23" i="14"/>
  <c r="H21" i="14"/>
  <c r="I21" i="14"/>
  <c r="H32" i="12"/>
  <c r="O6" i="12"/>
  <c r="O8" i="12"/>
  <c r="O12" i="12"/>
  <c r="O14" i="12"/>
  <c r="L35" i="12"/>
  <c r="F38" i="12"/>
  <c r="F43" i="12"/>
  <c r="I46" i="12"/>
  <c r="D98" i="13"/>
  <c r="I18" i="14"/>
  <c r="G98" i="14"/>
  <c r="E98" i="13"/>
  <c r="L6" i="14"/>
  <c r="L20" i="14"/>
  <c r="L98" i="14"/>
  <c r="J98" i="14"/>
  <c r="L43" i="11"/>
  <c r="F19" i="12"/>
  <c r="I38" i="12"/>
  <c r="L46" i="12"/>
  <c r="G98" i="13"/>
  <c r="M98" i="14"/>
  <c r="F27" i="12"/>
  <c r="F29" i="12"/>
  <c r="L8" i="13"/>
  <c r="L10" i="13"/>
  <c r="L12" i="13"/>
  <c r="L14" i="13"/>
  <c r="L16" i="13"/>
  <c r="I20" i="13"/>
  <c r="I98" i="13"/>
  <c r="H98" i="13"/>
  <c r="F26" i="13"/>
  <c r="F28" i="13"/>
  <c r="L34" i="13"/>
  <c r="L36" i="13"/>
  <c r="F39" i="13"/>
  <c r="F44" i="13"/>
  <c r="F98" i="13"/>
  <c r="O92" i="13"/>
  <c r="O7" i="11"/>
  <c r="O13" i="11"/>
  <c r="J98" i="13"/>
  <c r="E32" i="12"/>
  <c r="O6" i="13"/>
  <c r="K98" i="13"/>
  <c r="F13" i="14"/>
  <c r="F15" i="14"/>
  <c r="F12" i="11"/>
  <c r="F14" i="11"/>
  <c r="F16" i="11"/>
  <c r="L25" i="11"/>
  <c r="L34" i="11"/>
  <c r="F39" i="11"/>
  <c r="F42" i="11"/>
  <c r="F44" i="11"/>
  <c r="O20" i="12"/>
  <c r="O98" i="12"/>
  <c r="L92" i="12"/>
  <c r="M98" i="13"/>
  <c r="F19" i="14"/>
  <c r="K30" i="11"/>
  <c r="E98" i="14"/>
  <c r="F18" i="11"/>
  <c r="F20" i="11"/>
  <c r="F98" i="11"/>
  <c r="D98" i="11"/>
  <c r="K32" i="11"/>
  <c r="O37" i="12"/>
  <c r="L25" i="12"/>
  <c r="F29" i="14"/>
  <c r="K32" i="14"/>
  <c r="L35" i="14"/>
  <c r="E40" i="14"/>
  <c r="F43" i="14"/>
  <c r="L34" i="12"/>
  <c r="L36" i="12"/>
  <c r="F39" i="12"/>
  <c r="K30" i="13"/>
  <c r="E32" i="13"/>
  <c r="I8" i="11"/>
  <c r="I10" i="11"/>
  <c r="I12" i="11"/>
  <c r="I16" i="11"/>
  <c r="G98" i="11"/>
  <c r="N30" i="11"/>
  <c r="O29" i="11"/>
  <c r="E98" i="12"/>
  <c r="D23" i="13"/>
  <c r="D32" i="13"/>
  <c r="G32" i="13"/>
  <c r="I32" i="13"/>
  <c r="H40" i="14"/>
  <c r="N32" i="14"/>
  <c r="N40" i="14"/>
  <c r="N96" i="14"/>
  <c r="N97" i="14"/>
  <c r="E98" i="11"/>
  <c r="L6" i="11"/>
  <c r="L8" i="11"/>
  <c r="L10" i="11"/>
  <c r="L12" i="11"/>
  <c r="L14" i="11"/>
  <c r="L16" i="11"/>
  <c r="H98" i="11"/>
  <c r="F26" i="11"/>
  <c r="F28" i="11"/>
  <c r="D98" i="12"/>
  <c r="G98" i="12"/>
  <c r="F6" i="13"/>
  <c r="F20" i="14"/>
  <c r="L7" i="14"/>
  <c r="L9" i="14"/>
  <c r="L11" i="14"/>
  <c r="L13" i="14"/>
  <c r="L15" i="14"/>
  <c r="J30" i="14"/>
  <c r="L30" i="14"/>
  <c r="J98" i="11"/>
  <c r="E40" i="11"/>
  <c r="I6" i="12"/>
  <c r="F28" i="12"/>
  <c r="N32" i="12"/>
  <c r="H98" i="12"/>
  <c r="I6" i="13"/>
  <c r="O10" i="11"/>
  <c r="O16" i="11"/>
  <c r="K98" i="11"/>
  <c r="I26" i="11"/>
  <c r="I98" i="12"/>
  <c r="E30" i="12"/>
  <c r="K32" i="13"/>
  <c r="K40" i="13"/>
  <c r="M23" i="14"/>
  <c r="N21" i="14"/>
  <c r="M98" i="11"/>
  <c r="H32" i="11"/>
  <c r="H40" i="11"/>
  <c r="H96" i="11"/>
  <c r="H97" i="11"/>
  <c r="L6" i="12"/>
  <c r="L10" i="12"/>
  <c r="L12" i="12"/>
  <c r="L14" i="12"/>
  <c r="L16" i="12"/>
  <c r="L20" i="12"/>
  <c r="L98" i="12"/>
  <c r="J98" i="12"/>
  <c r="K98" i="12"/>
  <c r="B1" i="13"/>
  <c r="D37" i="13"/>
  <c r="F6" i="14"/>
  <c r="O20" i="11"/>
  <c r="O98" i="11"/>
  <c r="N98" i="11"/>
  <c r="L35" i="11"/>
  <c r="F38" i="11"/>
  <c r="F41" i="11"/>
  <c r="F43" i="11"/>
  <c r="I46" i="11"/>
  <c r="L18" i="12"/>
  <c r="M98" i="12"/>
  <c r="O39" i="12"/>
  <c r="O19" i="13"/>
  <c r="D98" i="14"/>
  <c r="F26" i="14"/>
  <c r="J32" i="14"/>
  <c r="F42" i="14"/>
  <c r="F44" i="14"/>
  <c r="O21" i="14"/>
  <c r="N23" i="14"/>
  <c r="O23" i="14"/>
  <c r="O28" i="11"/>
  <c r="I33" i="11"/>
  <c r="O39" i="11"/>
  <c r="I18" i="12"/>
  <c r="L20" i="13"/>
  <c r="L98" i="13"/>
  <c r="E30" i="13"/>
  <c r="O11" i="14"/>
  <c r="I38" i="14"/>
  <c r="L46" i="14"/>
  <c r="J23" i="12"/>
  <c r="K21" i="12"/>
  <c r="F44" i="12"/>
  <c r="F98" i="12"/>
  <c r="N32" i="13"/>
  <c r="N40" i="13"/>
  <c r="N96" i="13"/>
  <c r="N97" i="13"/>
  <c r="I92" i="14"/>
  <c r="F92" i="11"/>
  <c r="O10" i="12"/>
  <c r="O16" i="12"/>
  <c r="I26" i="12"/>
  <c r="O18" i="13"/>
  <c r="O20" i="13"/>
  <c r="O98" i="13"/>
  <c r="L26" i="13"/>
  <c r="L42" i="13"/>
  <c r="F18" i="14"/>
  <c r="N40" i="12"/>
  <c r="F19" i="13"/>
  <c r="E40" i="13"/>
  <c r="I19" i="11"/>
  <c r="O19" i="11"/>
  <c r="O18" i="12"/>
  <c r="D23" i="11"/>
  <c r="I92" i="11"/>
  <c r="H40" i="13"/>
  <c r="H96" i="13"/>
  <c r="H97" i="13"/>
  <c r="L8" i="12"/>
  <c r="F32" i="11"/>
  <c r="I32" i="11"/>
  <c r="G32" i="12"/>
  <c r="I32" i="12"/>
  <c r="L7" i="13"/>
  <c r="L11" i="13"/>
  <c r="L13" i="13"/>
  <c r="I19" i="13"/>
  <c r="F29" i="13"/>
  <c r="L33" i="13"/>
  <c r="L35" i="13"/>
  <c r="F41" i="13"/>
  <c r="F43" i="13"/>
  <c r="E30" i="14"/>
  <c r="I6" i="11"/>
  <c r="M30" i="11"/>
  <c r="O30" i="11"/>
  <c r="I34" i="11"/>
  <c r="O43" i="11"/>
  <c r="L19" i="13"/>
  <c r="F92" i="13"/>
  <c r="F38" i="14"/>
  <c r="O8" i="14"/>
  <c r="O14" i="14"/>
  <c r="I26" i="14"/>
  <c r="O34" i="14"/>
  <c r="I29" i="13"/>
  <c r="O35" i="13"/>
  <c r="L46" i="13"/>
  <c r="K32" i="12"/>
  <c r="F41" i="12"/>
  <c r="D32" i="14"/>
  <c r="F32" i="14"/>
  <c r="K40" i="11"/>
  <c r="H40" i="12"/>
  <c r="H96" i="12"/>
  <c r="H97" i="12"/>
  <c r="M23" i="12"/>
  <c r="O21" i="12"/>
  <c r="L19" i="12"/>
  <c r="I92" i="13"/>
  <c r="O32" i="14"/>
  <c r="F35" i="14"/>
  <c r="O19" i="12"/>
  <c r="I20" i="11"/>
  <c r="I98" i="11"/>
  <c r="J32" i="11"/>
  <c r="L32" i="11"/>
  <c r="N32" i="11"/>
  <c r="O32" i="11"/>
  <c r="I33" i="13"/>
  <c r="G23" i="13"/>
  <c r="F33" i="14"/>
  <c r="F7" i="11"/>
  <c r="F9" i="11"/>
  <c r="F11" i="11"/>
  <c r="F13" i="11"/>
  <c r="F15" i="11"/>
  <c r="L26" i="11"/>
  <c r="L28" i="11"/>
  <c r="F33" i="11"/>
  <c r="L39" i="11"/>
  <c r="L33" i="14"/>
  <c r="F27" i="14"/>
  <c r="F41" i="14"/>
  <c r="K40" i="14"/>
  <c r="L32" i="14"/>
  <c r="L27" i="14"/>
  <c r="F30" i="14"/>
  <c r="G32" i="14"/>
  <c r="I32" i="14"/>
  <c r="I30" i="14"/>
  <c r="J23" i="14"/>
  <c r="K21" i="14"/>
  <c r="J31" i="14"/>
  <c r="L31" i="14"/>
  <c r="J37" i="14"/>
  <c r="L37" i="14"/>
  <c r="I6" i="14"/>
  <c r="B1" i="14"/>
  <c r="M30" i="14"/>
  <c r="O30" i="14"/>
  <c r="M31" i="14"/>
  <c r="O31" i="14"/>
  <c r="M37" i="14"/>
  <c r="O37" i="14"/>
  <c r="G4" i="14"/>
  <c r="J4" i="14"/>
  <c r="D23" i="14"/>
  <c r="E21" i="14"/>
  <c r="D31" i="14"/>
  <c r="F31" i="14"/>
  <c r="D37" i="14"/>
  <c r="F37" i="14"/>
  <c r="G31" i="14"/>
  <c r="I31" i="14"/>
  <c r="J23" i="13"/>
  <c r="F32" i="13"/>
  <c r="L21" i="13"/>
  <c r="M30" i="13"/>
  <c r="O30" i="13"/>
  <c r="M32" i="13"/>
  <c r="M37" i="13"/>
  <c r="O37" i="13"/>
  <c r="J37" i="13"/>
  <c r="L37" i="13"/>
  <c r="M23" i="13"/>
  <c r="O25" i="13"/>
  <c r="O38" i="13"/>
  <c r="M4" i="13"/>
  <c r="D30" i="13"/>
  <c r="D31" i="13"/>
  <c r="F31" i="13"/>
  <c r="F37" i="13"/>
  <c r="J31" i="13"/>
  <c r="L31" i="13"/>
  <c r="G4" i="13"/>
  <c r="M31" i="13"/>
  <c r="O31" i="13"/>
  <c r="L6" i="13"/>
  <c r="G30" i="13"/>
  <c r="I30" i="13"/>
  <c r="G31" i="13"/>
  <c r="I31" i="13"/>
  <c r="G37" i="13"/>
  <c r="I37" i="13"/>
  <c r="I25" i="13"/>
  <c r="J30" i="13"/>
  <c r="J32" i="13"/>
  <c r="L32" i="13"/>
  <c r="K40" i="12"/>
  <c r="E40" i="12"/>
  <c r="O7" i="12"/>
  <c r="J4" i="12"/>
  <c r="J32" i="12"/>
  <c r="L32" i="12"/>
  <c r="I33" i="12"/>
  <c r="G23" i="12"/>
  <c r="H21" i="12"/>
  <c r="D32" i="12"/>
  <c r="F32" i="12"/>
  <c r="M30" i="12"/>
  <c r="O30" i="12"/>
  <c r="E21" i="12"/>
  <c r="L21" i="12"/>
  <c r="O25" i="12"/>
  <c r="O26" i="12"/>
  <c r="F6" i="12"/>
  <c r="D30" i="12"/>
  <c r="D31" i="12"/>
  <c r="F31" i="12"/>
  <c r="D37" i="12"/>
  <c r="F37" i="12"/>
  <c r="M32" i="12"/>
  <c r="O32" i="12"/>
  <c r="F25" i="12"/>
  <c r="G30" i="12"/>
  <c r="I30" i="12"/>
  <c r="G31" i="12"/>
  <c r="I31" i="12"/>
  <c r="G37" i="12"/>
  <c r="I37" i="12"/>
  <c r="B1" i="12"/>
  <c r="I25" i="12"/>
  <c r="J30" i="12"/>
  <c r="J31" i="12"/>
  <c r="L31" i="12"/>
  <c r="G4" i="12"/>
  <c r="J37" i="11"/>
  <c r="L37" i="11"/>
  <c r="G23" i="11"/>
  <c r="H21" i="11"/>
  <c r="M31" i="11"/>
  <c r="O31" i="11"/>
  <c r="L21" i="11"/>
  <c r="K23" i="11"/>
  <c r="O25" i="11"/>
  <c r="O26" i="11"/>
  <c r="O34" i="11"/>
  <c r="O37" i="11"/>
  <c r="F6" i="11"/>
  <c r="D30" i="11"/>
  <c r="F31" i="11"/>
  <c r="D37" i="11"/>
  <c r="F37" i="11"/>
  <c r="F25" i="11"/>
  <c r="G30" i="11"/>
  <c r="I30" i="11"/>
  <c r="G31" i="11"/>
  <c r="I31" i="11"/>
  <c r="G37" i="11"/>
  <c r="I37" i="11"/>
  <c r="M4" i="11"/>
  <c r="B1" i="11"/>
  <c r="I25" i="11"/>
  <c r="J30" i="11"/>
  <c r="L30" i="11"/>
  <c r="J31" i="11"/>
  <c r="L31" i="11"/>
  <c r="G4" i="11"/>
  <c r="O46" i="10"/>
  <c r="N98" i="10"/>
  <c r="F44" i="10"/>
  <c r="L43" i="10"/>
  <c r="I43" i="10"/>
  <c r="F43" i="10"/>
  <c r="O42" i="10"/>
  <c r="F42" i="10"/>
  <c r="L41" i="10"/>
  <c r="I41" i="10"/>
  <c r="F41" i="10"/>
  <c r="O39" i="10"/>
  <c r="F39" i="10"/>
  <c r="L38" i="10"/>
  <c r="I38" i="10"/>
  <c r="O36" i="10"/>
  <c r="L36" i="10"/>
  <c r="F36" i="10"/>
  <c r="O35" i="10"/>
  <c r="I35" i="10"/>
  <c r="O33" i="10"/>
  <c r="O29" i="10"/>
  <c r="I29" i="10"/>
  <c r="F29" i="10"/>
  <c r="F28" i="10"/>
  <c r="O27" i="10"/>
  <c r="K30" i="10"/>
  <c r="I27" i="10"/>
  <c r="F27" i="10"/>
  <c r="L26" i="10"/>
  <c r="F26" i="10"/>
  <c r="O22" i="10"/>
  <c r="L22" i="10"/>
  <c r="F19" i="10"/>
  <c r="O18" i="10"/>
  <c r="F18" i="10"/>
  <c r="F17" i="10"/>
  <c r="O16" i="10"/>
  <c r="I16" i="10"/>
  <c r="O15" i="10"/>
  <c r="I15" i="10"/>
  <c r="I14" i="10"/>
  <c r="F14" i="10"/>
  <c r="O13" i="10"/>
  <c r="I13" i="10"/>
  <c r="L12" i="10"/>
  <c r="F12" i="10"/>
  <c r="O11" i="10"/>
  <c r="I11" i="10"/>
  <c r="F11" i="10"/>
  <c r="O10" i="10"/>
  <c r="O9" i="10"/>
  <c r="I9" i="10"/>
  <c r="F9" i="10"/>
  <c r="I8" i="10"/>
  <c r="F8" i="10"/>
  <c r="O7" i="10"/>
  <c r="I7" i="10"/>
  <c r="J4" i="10"/>
  <c r="G37" i="10"/>
  <c r="I37" i="10"/>
  <c r="I92" i="10"/>
  <c r="I46" i="10"/>
  <c r="F38" i="10"/>
  <c r="L35" i="10"/>
  <c r="I34" i="10"/>
  <c r="F33" i="10"/>
  <c r="N32" i="10"/>
  <c r="O28" i="10"/>
  <c r="L28" i="10"/>
  <c r="O26" i="10"/>
  <c r="H30" i="10"/>
  <c r="I22" i="10"/>
  <c r="O17" i="10"/>
  <c r="I17" i="10"/>
  <c r="L16" i="10"/>
  <c r="F15" i="10"/>
  <c r="O14" i="10"/>
  <c r="L14" i="10"/>
  <c r="O12" i="10"/>
  <c r="L10" i="10"/>
  <c r="I10" i="10"/>
  <c r="O8" i="10"/>
  <c r="L8" i="10"/>
  <c r="E21" i="9"/>
  <c r="D118" i="15" a="1"/>
  <c r="F118" i="15" a="1"/>
  <c r="D190" i="15" a="1"/>
  <c r="F154" i="15" a="1"/>
  <c r="G154" i="15" a="1"/>
  <c r="E118" i="15" a="1"/>
  <c r="G118" i="15" a="1"/>
  <c r="D190" i="15"/>
  <c r="L30" i="13"/>
  <c r="F98" i="14"/>
  <c r="E96" i="13"/>
  <c r="E97" i="13"/>
  <c r="F30" i="12"/>
  <c r="N96" i="12"/>
  <c r="N97" i="12"/>
  <c r="E21" i="11"/>
  <c r="F21" i="11"/>
  <c r="D118" i="15"/>
  <c r="E118" i="15"/>
  <c r="F118" i="15"/>
  <c r="F154" i="15"/>
  <c r="G118" i="15"/>
  <c r="G154" i="15"/>
  <c r="K96" i="13"/>
  <c r="K97" i="13"/>
  <c r="I21" i="11"/>
  <c r="L21" i="14"/>
  <c r="F21" i="12"/>
  <c r="H23" i="14"/>
  <c r="M40" i="11"/>
  <c r="M96" i="11"/>
  <c r="M97" i="11"/>
  <c r="L7" i="10"/>
  <c r="L11" i="10"/>
  <c r="L13" i="10"/>
  <c r="F34" i="10"/>
  <c r="O41" i="10"/>
  <c r="F6" i="10"/>
  <c r="I39" i="10"/>
  <c r="I42" i="10"/>
  <c r="I44" i="10"/>
  <c r="D98" i="10"/>
  <c r="M40" i="13"/>
  <c r="M96" i="13"/>
  <c r="M97" i="13"/>
  <c r="G98" i="10"/>
  <c r="J98" i="10"/>
  <c r="I26" i="10"/>
  <c r="L39" i="10"/>
  <c r="K98" i="10"/>
  <c r="F92" i="10"/>
  <c r="L6" i="10"/>
  <c r="O6" i="10"/>
  <c r="M47" i="11"/>
  <c r="N45" i="11"/>
  <c r="J40" i="14"/>
  <c r="L40" i="14"/>
  <c r="L96" i="14"/>
  <c r="L97" i="14"/>
  <c r="F30" i="11"/>
  <c r="D40" i="11"/>
  <c r="D47" i="11"/>
  <c r="F40" i="11"/>
  <c r="F96" i="11"/>
  <c r="F97" i="11"/>
  <c r="I6" i="10"/>
  <c r="I12" i="10"/>
  <c r="I28" i="10"/>
  <c r="F35" i="10"/>
  <c r="L42" i="10"/>
  <c r="L44" i="10"/>
  <c r="N40" i="11"/>
  <c r="N96" i="11"/>
  <c r="N97" i="11"/>
  <c r="K23" i="14"/>
  <c r="K81" i="14"/>
  <c r="N81" i="14"/>
  <c r="O44" i="10"/>
  <c r="E23" i="14"/>
  <c r="F23" i="14"/>
  <c r="F21" i="14"/>
  <c r="D40" i="12"/>
  <c r="F40" i="12"/>
  <c r="F96" i="12"/>
  <c r="F97" i="12"/>
  <c r="J32" i="10"/>
  <c r="L46" i="10"/>
  <c r="O92" i="10"/>
  <c r="N40" i="10"/>
  <c r="O32" i="13"/>
  <c r="L19" i="10"/>
  <c r="L9" i="10"/>
  <c r="L15" i="10"/>
  <c r="L27" i="10"/>
  <c r="L29" i="10"/>
  <c r="I36" i="10"/>
  <c r="O38" i="10"/>
  <c r="O43" i="10"/>
  <c r="D40" i="14"/>
  <c r="M40" i="14"/>
  <c r="M96" i="14"/>
  <c r="M97" i="14"/>
  <c r="G40" i="14"/>
  <c r="G96" i="14"/>
  <c r="G97" i="14"/>
  <c r="D40" i="13"/>
  <c r="F40" i="13"/>
  <c r="K23" i="13"/>
  <c r="L23" i="13"/>
  <c r="J40" i="13"/>
  <c r="G40" i="13"/>
  <c r="G96" i="13"/>
  <c r="G97" i="13"/>
  <c r="F30" i="13"/>
  <c r="F96" i="13"/>
  <c r="F97" i="13"/>
  <c r="E23" i="13"/>
  <c r="F21" i="13"/>
  <c r="H23" i="13"/>
  <c r="I21" i="13"/>
  <c r="I21" i="12"/>
  <c r="H23" i="12"/>
  <c r="I23" i="12"/>
  <c r="N23" i="12"/>
  <c r="O23" i="12"/>
  <c r="J40" i="12"/>
  <c r="L40" i="12"/>
  <c r="L30" i="12"/>
  <c r="L96" i="12"/>
  <c r="L97" i="12"/>
  <c r="E23" i="12"/>
  <c r="G40" i="12"/>
  <c r="I40" i="12"/>
  <c r="M40" i="12"/>
  <c r="M96" i="12"/>
  <c r="M97" i="12"/>
  <c r="K23" i="12"/>
  <c r="J40" i="11"/>
  <c r="J96" i="11"/>
  <c r="J97" i="11"/>
  <c r="O21" i="11"/>
  <c r="N23" i="11"/>
  <c r="G40" i="11"/>
  <c r="G96" i="11"/>
  <c r="G97" i="11"/>
  <c r="K81" i="11"/>
  <c r="H23" i="11"/>
  <c r="L23" i="11"/>
  <c r="L18" i="10"/>
  <c r="M4" i="10"/>
  <c r="F7" i="10"/>
  <c r="F10" i="10"/>
  <c r="F13" i="10"/>
  <c r="F16" i="10"/>
  <c r="D30" i="10"/>
  <c r="D23" i="10"/>
  <c r="E21" i="10"/>
  <c r="M32" i="10"/>
  <c r="O32" i="10"/>
  <c r="I19" i="10"/>
  <c r="L92" i="10"/>
  <c r="G32" i="10"/>
  <c r="I18" i="10"/>
  <c r="O19" i="10"/>
  <c r="N30" i="10"/>
  <c r="H32" i="10"/>
  <c r="H40" i="10"/>
  <c r="H96" i="10"/>
  <c r="H97" i="10"/>
  <c r="E32" i="10"/>
  <c r="E40" i="10"/>
  <c r="O34" i="10"/>
  <c r="L34" i="10"/>
  <c r="K32" i="10"/>
  <c r="K40" i="10"/>
  <c r="I33" i="10"/>
  <c r="L33" i="10"/>
  <c r="D32" i="10"/>
  <c r="F32" i="10"/>
  <c r="G4" i="10"/>
  <c r="J23" i="10"/>
  <c r="K21" i="10"/>
  <c r="J30" i="10"/>
  <c r="L30" i="10"/>
  <c r="J31" i="10"/>
  <c r="L31" i="10"/>
  <c r="J37" i="10"/>
  <c r="L37" i="10"/>
  <c r="B1" i="10"/>
  <c r="L25" i="10"/>
  <c r="M23" i="10"/>
  <c r="M30" i="10"/>
  <c r="M31" i="10"/>
  <c r="O31" i="10"/>
  <c r="M37" i="10"/>
  <c r="O37" i="10"/>
  <c r="O25" i="10"/>
  <c r="D31" i="10"/>
  <c r="F31" i="10"/>
  <c r="D37" i="10"/>
  <c r="F37" i="10"/>
  <c r="E30" i="10"/>
  <c r="F30" i="10"/>
  <c r="F25" i="10"/>
  <c r="G23" i="10"/>
  <c r="H21" i="10"/>
  <c r="G30" i="10"/>
  <c r="I30" i="10"/>
  <c r="G31" i="10"/>
  <c r="I31" i="10"/>
  <c r="I25" i="10"/>
  <c r="E45" i="11"/>
  <c r="D50" i="11"/>
  <c r="D96" i="13"/>
  <c r="D97" i="13"/>
  <c r="N96" i="10"/>
  <c r="N97" i="10"/>
  <c r="O30" i="10"/>
  <c r="M40" i="10"/>
  <c r="M96" i="10"/>
  <c r="M97" i="10"/>
  <c r="N81" i="12"/>
  <c r="E23" i="11"/>
  <c r="E81" i="11"/>
  <c r="M50" i="11"/>
  <c r="O45" i="11"/>
  <c r="J96" i="14"/>
  <c r="J97" i="14"/>
  <c r="I23" i="14"/>
  <c r="H81" i="14"/>
  <c r="J96" i="12"/>
  <c r="J97" i="12"/>
  <c r="D96" i="11"/>
  <c r="D97" i="11"/>
  <c r="L40" i="13"/>
  <c r="L96" i="13"/>
  <c r="L97" i="13"/>
  <c r="J96" i="13"/>
  <c r="J97" i="13"/>
  <c r="F40" i="14"/>
  <c r="F96" i="14"/>
  <c r="F97" i="14"/>
  <c r="D96" i="14"/>
  <c r="D97" i="14"/>
  <c r="L21" i="10"/>
  <c r="J47" i="13"/>
  <c r="J50" i="13"/>
  <c r="D96" i="12"/>
  <c r="D97" i="12"/>
  <c r="F21" i="10"/>
  <c r="I21" i="10"/>
  <c r="G96" i="12"/>
  <c r="G97" i="12"/>
  <c r="O40" i="11"/>
  <c r="L40" i="11"/>
  <c r="L96" i="11"/>
  <c r="L97" i="11"/>
  <c r="E81" i="14"/>
  <c r="L32" i="10"/>
  <c r="D47" i="12"/>
  <c r="E45" i="12"/>
  <c r="J47" i="12"/>
  <c r="K45" i="12"/>
  <c r="L23" i="14"/>
  <c r="D47" i="14"/>
  <c r="J47" i="14"/>
  <c r="J50" i="14"/>
  <c r="O40" i="14"/>
  <c r="M47" i="14"/>
  <c r="N45" i="14"/>
  <c r="I40" i="14"/>
  <c r="G47" i="14"/>
  <c r="H45" i="14"/>
  <c r="H96" i="14"/>
  <c r="H97" i="14"/>
  <c r="K81" i="13"/>
  <c r="D47" i="13"/>
  <c r="D50" i="13"/>
  <c r="D49" i="13"/>
  <c r="I40" i="13"/>
  <c r="G47" i="13"/>
  <c r="O40" i="13"/>
  <c r="M47" i="13"/>
  <c r="O21" i="13"/>
  <c r="N23" i="13"/>
  <c r="E81" i="13"/>
  <c r="F23" i="13"/>
  <c r="H81" i="13"/>
  <c r="I23" i="13"/>
  <c r="G47" i="12"/>
  <c r="H45" i="12"/>
  <c r="H81" i="12"/>
  <c r="O40" i="12"/>
  <c r="M47" i="12"/>
  <c r="E81" i="12"/>
  <c r="F23" i="12"/>
  <c r="K81" i="12"/>
  <c r="L23" i="12"/>
  <c r="N81" i="11"/>
  <c r="O23" i="11"/>
  <c r="N47" i="11"/>
  <c r="O47" i="11"/>
  <c r="F23" i="11"/>
  <c r="J47" i="11"/>
  <c r="K45" i="11"/>
  <c r="H81" i="11"/>
  <c r="I23" i="11"/>
  <c r="I40" i="11"/>
  <c r="G47" i="11"/>
  <c r="H45" i="11"/>
  <c r="I32" i="10"/>
  <c r="G40" i="10"/>
  <c r="J40" i="10"/>
  <c r="O40" i="10"/>
  <c r="D40" i="10"/>
  <c r="D96" i="10"/>
  <c r="D97" i="10"/>
  <c r="E193" i="15" a="1"/>
  <c r="E195" i="15" a="1"/>
  <c r="F193" i="15" a="1"/>
  <c r="D193" i="15" a="1"/>
  <c r="D192" i="15" a="1"/>
  <c r="M49" i="11"/>
  <c r="O49" i="11"/>
  <c r="M52" i="11"/>
  <c r="E195" i="15"/>
  <c r="E193" i="15"/>
  <c r="F193" i="15"/>
  <c r="D193" i="15"/>
  <c r="K96" i="12"/>
  <c r="K97" i="12"/>
  <c r="E96" i="12"/>
  <c r="E97" i="12"/>
  <c r="L40" i="10"/>
  <c r="L96" i="10"/>
  <c r="L97" i="10"/>
  <c r="J96" i="10"/>
  <c r="J97" i="10"/>
  <c r="I40" i="10"/>
  <c r="G96" i="10"/>
  <c r="G97" i="10"/>
  <c r="O96" i="11"/>
  <c r="O97" i="11"/>
  <c r="D192" i="15"/>
  <c r="E96" i="11"/>
  <c r="E97" i="11"/>
  <c r="D50" i="12"/>
  <c r="D49" i="12"/>
  <c r="F49" i="12"/>
  <c r="J50" i="12"/>
  <c r="I45" i="14"/>
  <c r="I96" i="14"/>
  <c r="I97" i="14"/>
  <c r="H47" i="14"/>
  <c r="H50" i="14"/>
  <c r="H82" i="14"/>
  <c r="H83" i="14"/>
  <c r="K45" i="14"/>
  <c r="O45" i="14"/>
  <c r="O96" i="14"/>
  <c r="O97" i="14"/>
  <c r="N47" i="14"/>
  <c r="N50" i="14"/>
  <c r="N82" i="14"/>
  <c r="N83" i="14"/>
  <c r="E45" i="14"/>
  <c r="D50" i="14"/>
  <c r="D49" i="14"/>
  <c r="F49" i="14"/>
  <c r="G50" i="14"/>
  <c r="G49" i="14"/>
  <c r="M50" i="14"/>
  <c r="M49" i="14"/>
  <c r="J49" i="14"/>
  <c r="L49" i="14"/>
  <c r="J49" i="13"/>
  <c r="L49" i="13"/>
  <c r="L45" i="13"/>
  <c r="K47" i="13"/>
  <c r="N81" i="13"/>
  <c r="O23" i="13"/>
  <c r="F45" i="13"/>
  <c r="E47" i="13"/>
  <c r="M50" i="13"/>
  <c r="G50" i="13"/>
  <c r="G49" i="13"/>
  <c r="G50" i="12"/>
  <c r="G49" i="12"/>
  <c r="I49" i="12"/>
  <c r="L45" i="12"/>
  <c r="K47" i="12"/>
  <c r="J49" i="12"/>
  <c r="L49" i="12"/>
  <c r="F45" i="12"/>
  <c r="E47" i="12"/>
  <c r="M50" i="12"/>
  <c r="M49" i="12"/>
  <c r="I45" i="12"/>
  <c r="I96" i="12"/>
  <c r="I97" i="12"/>
  <c r="H47" i="12"/>
  <c r="N50" i="11"/>
  <c r="F45" i="11"/>
  <c r="E47" i="11"/>
  <c r="E49" i="11"/>
  <c r="E50" i="11"/>
  <c r="J50" i="11"/>
  <c r="G50" i="11"/>
  <c r="O50" i="11"/>
  <c r="J47" i="10"/>
  <c r="G47" i="10"/>
  <c r="F40" i="10"/>
  <c r="F96" i="10"/>
  <c r="F97" i="10"/>
  <c r="D47" i="10"/>
  <c r="E45" i="10"/>
  <c r="M47" i="10"/>
  <c r="M50" i="10"/>
  <c r="M49" i="10"/>
  <c r="O21" i="10"/>
  <c r="G48" i="15" a="1"/>
  <c r="D195" i="15" a="1"/>
  <c r="F192" i="15" a="1"/>
  <c r="E48" i="15" a="1"/>
  <c r="E192" i="15" a="1"/>
  <c r="F195" i="15" a="1"/>
  <c r="D191" i="15" a="1"/>
  <c r="O47" i="14"/>
  <c r="O50" i="14"/>
  <c r="O72" i="14"/>
  <c r="G49" i="11"/>
  <c r="G52" i="11"/>
  <c r="D52" i="11"/>
  <c r="N82" i="11"/>
  <c r="N83" i="11"/>
  <c r="N52" i="11"/>
  <c r="O72" i="11"/>
  <c r="O52" i="11"/>
  <c r="I47" i="14"/>
  <c r="I50" i="14"/>
  <c r="I72" i="14"/>
  <c r="E192" i="15"/>
  <c r="F195" i="15"/>
  <c r="F192" i="15"/>
  <c r="D191" i="15"/>
  <c r="D195" i="15"/>
  <c r="K96" i="14"/>
  <c r="K97" i="14"/>
  <c r="K96" i="11"/>
  <c r="K97" i="11"/>
  <c r="E96" i="10"/>
  <c r="E97" i="10"/>
  <c r="E96" i="14"/>
  <c r="E97" i="14"/>
  <c r="G48" i="15"/>
  <c r="E48" i="15"/>
  <c r="F45" i="14"/>
  <c r="E47" i="14"/>
  <c r="L45" i="14"/>
  <c r="K47" i="14"/>
  <c r="F49" i="13"/>
  <c r="I49" i="14"/>
  <c r="O49" i="14"/>
  <c r="M49" i="13"/>
  <c r="O49" i="13"/>
  <c r="K50" i="13"/>
  <c r="K82" i="13"/>
  <c r="K83" i="13"/>
  <c r="L47" i="13"/>
  <c r="L50" i="13"/>
  <c r="L72" i="13"/>
  <c r="E50" i="13"/>
  <c r="E82" i="13"/>
  <c r="E83" i="13"/>
  <c r="F47" i="13"/>
  <c r="F50" i="13"/>
  <c r="F72" i="13"/>
  <c r="O45" i="13"/>
  <c r="O96" i="13"/>
  <c r="O97" i="13"/>
  <c r="N47" i="13"/>
  <c r="I49" i="13"/>
  <c r="I45" i="13"/>
  <c r="I96" i="13"/>
  <c r="I97" i="13"/>
  <c r="H47" i="13"/>
  <c r="O49" i="12"/>
  <c r="O45" i="12"/>
  <c r="O96" i="12"/>
  <c r="O97" i="12"/>
  <c r="N47" i="12"/>
  <c r="H50" i="12"/>
  <c r="H82" i="12"/>
  <c r="H83" i="12"/>
  <c r="I47" i="12"/>
  <c r="I50" i="12"/>
  <c r="I72" i="12"/>
  <c r="E50" i="12"/>
  <c r="E82" i="12"/>
  <c r="E83" i="12"/>
  <c r="F47" i="12"/>
  <c r="F50" i="12"/>
  <c r="F72" i="12"/>
  <c r="K50" i="12"/>
  <c r="K82" i="12"/>
  <c r="K83" i="12"/>
  <c r="L47" i="12"/>
  <c r="L50" i="12"/>
  <c r="L72" i="12"/>
  <c r="F47" i="11"/>
  <c r="F49" i="11"/>
  <c r="F50" i="11"/>
  <c r="I49" i="11"/>
  <c r="I45" i="11"/>
  <c r="I96" i="11"/>
  <c r="I97" i="11"/>
  <c r="H47" i="11"/>
  <c r="L45" i="11"/>
  <c r="K47" i="11"/>
  <c r="J49" i="11"/>
  <c r="L49" i="11"/>
  <c r="K45" i="10"/>
  <c r="F45" i="10"/>
  <c r="E47" i="10"/>
  <c r="H45" i="10"/>
  <c r="G50" i="10"/>
  <c r="G49" i="10"/>
  <c r="I49" i="10"/>
  <c r="J50" i="10"/>
  <c r="J49" i="10"/>
  <c r="L49" i="10"/>
  <c r="D50" i="10"/>
  <c r="G45" i="15" a="1"/>
  <c r="D46" i="15" a="1"/>
  <c r="F47" i="15" a="1"/>
  <c r="E191" i="15" a="1"/>
  <c r="E46" i="15" a="1"/>
  <c r="D47" i="15" a="1"/>
  <c r="F46" i="15" a="1"/>
  <c r="F191" i="15" a="1"/>
  <c r="F76" i="13"/>
  <c r="J52" i="11"/>
  <c r="G45" i="15"/>
  <c r="F72" i="11"/>
  <c r="F76" i="11"/>
  <c r="F52" i="11"/>
  <c r="E82" i="11"/>
  <c r="E83" i="11"/>
  <c r="E52" i="11"/>
  <c r="E191" i="15"/>
  <c r="F46" i="15"/>
  <c r="E46" i="15"/>
  <c r="F47" i="15"/>
  <c r="D47" i="15"/>
  <c r="D46" i="15"/>
  <c r="F191" i="15"/>
  <c r="K96" i="10"/>
  <c r="K97" i="10"/>
  <c r="K50" i="14"/>
  <c r="K82" i="14"/>
  <c r="K83" i="14"/>
  <c r="L47" i="14"/>
  <c r="L50" i="14"/>
  <c r="L72" i="14"/>
  <c r="E50" i="14"/>
  <c r="E82" i="14"/>
  <c r="E83" i="14"/>
  <c r="F47" i="14"/>
  <c r="F50" i="14"/>
  <c r="F72" i="14"/>
  <c r="N50" i="13"/>
  <c r="N82" i="13"/>
  <c r="N83" i="13"/>
  <c r="O47" i="13"/>
  <c r="O50" i="13"/>
  <c r="O72" i="13"/>
  <c r="F78" i="13"/>
  <c r="F79" i="13"/>
  <c r="D81" i="13"/>
  <c r="D82" i="13"/>
  <c r="H50" i="13"/>
  <c r="H82" i="13"/>
  <c r="H83" i="13"/>
  <c r="I47" i="13"/>
  <c r="I50" i="13"/>
  <c r="I72" i="13"/>
  <c r="F78" i="12"/>
  <c r="F76" i="12"/>
  <c r="F79" i="12"/>
  <c r="D81" i="12"/>
  <c r="D82" i="12"/>
  <c r="N50" i="12"/>
  <c r="N82" i="12"/>
  <c r="N83" i="12"/>
  <c r="O47" i="12"/>
  <c r="O50" i="12"/>
  <c r="O72" i="12"/>
  <c r="H50" i="11"/>
  <c r="I47" i="11"/>
  <c r="I50" i="11"/>
  <c r="K50" i="11"/>
  <c r="L47" i="11"/>
  <c r="L50" i="11"/>
  <c r="F47" i="10"/>
  <c r="L45" i="10"/>
  <c r="K47" i="10"/>
  <c r="L47" i="10"/>
  <c r="I45" i="10"/>
  <c r="I96" i="10"/>
  <c r="I97" i="10"/>
  <c r="H47" i="10"/>
  <c r="O45" i="10"/>
  <c r="O96" i="10"/>
  <c r="O97" i="10"/>
  <c r="N47" i="10"/>
  <c r="D49" i="10"/>
  <c r="F49" i="10"/>
  <c r="O49" i="10"/>
  <c r="G46" i="15" a="1"/>
  <c r="D45" i="15" a="1"/>
  <c r="D48" i="15" a="1"/>
  <c r="F48" i="15" a="1"/>
  <c r="G47" i="15" a="1"/>
  <c r="E47" i="15" a="1"/>
  <c r="L72" i="11"/>
  <c r="L52" i="11"/>
  <c r="K82" i="11"/>
  <c r="K83" i="11"/>
  <c r="K52" i="11"/>
  <c r="H82" i="11"/>
  <c r="H83" i="11"/>
  <c r="H52" i="11"/>
  <c r="I72" i="11"/>
  <c r="I52" i="11"/>
  <c r="D45" i="15"/>
  <c r="F78" i="11"/>
  <c r="G46" i="15"/>
  <c r="E47" i="15"/>
  <c r="G47" i="15"/>
  <c r="D48" i="15"/>
  <c r="F76" i="14"/>
  <c r="F78" i="14"/>
  <c r="F48" i="15"/>
  <c r="F79" i="11"/>
  <c r="D81" i="11"/>
  <c r="D82" i="11"/>
  <c r="F82" i="11"/>
  <c r="F81" i="13"/>
  <c r="F82" i="13"/>
  <c r="F81" i="12"/>
  <c r="F82" i="12"/>
  <c r="I47" i="10"/>
  <c r="O47" i="10"/>
  <c r="F45" i="15" a="1"/>
  <c r="E45" i="15" a="1"/>
  <c r="F45" i="15"/>
  <c r="E45" i="15"/>
  <c r="F79" i="14"/>
  <c r="D81" i="14"/>
  <c r="D82" i="14"/>
  <c r="F82" i="14"/>
  <c r="F81" i="11"/>
  <c r="F83" i="11"/>
  <c r="I74" i="13"/>
  <c r="F89" i="13"/>
  <c r="F83" i="13"/>
  <c r="F88" i="13"/>
  <c r="I73" i="13"/>
  <c r="D83" i="13"/>
  <c r="F83" i="12"/>
  <c r="I73" i="12"/>
  <c r="F88" i="12"/>
  <c r="I74" i="12"/>
  <c r="F89" i="12"/>
  <c r="D83" i="12"/>
  <c r="I74" i="11"/>
  <c r="F89" i="11"/>
  <c r="D83" i="11"/>
  <c r="F92" i="9"/>
  <c r="O46" i="9"/>
  <c r="L44" i="9"/>
  <c r="F44" i="9"/>
  <c r="F43" i="9"/>
  <c r="L42" i="9"/>
  <c r="F42" i="9"/>
  <c r="I41" i="9"/>
  <c r="O39" i="9"/>
  <c r="L39" i="9"/>
  <c r="F39" i="9"/>
  <c r="L38" i="9"/>
  <c r="L36" i="9"/>
  <c r="L35" i="9"/>
  <c r="I34" i="9"/>
  <c r="L33" i="9"/>
  <c r="I33" i="9"/>
  <c r="F29" i="9"/>
  <c r="O27" i="9"/>
  <c r="I26" i="9"/>
  <c r="O25" i="9"/>
  <c r="L25" i="9"/>
  <c r="F25" i="9"/>
  <c r="O19" i="9"/>
  <c r="I19" i="9"/>
  <c r="F19" i="9"/>
  <c r="I18" i="9"/>
  <c r="I17" i="9"/>
  <c r="I16" i="9"/>
  <c r="O15" i="9"/>
  <c r="L15" i="9"/>
  <c r="F15" i="9"/>
  <c r="O14" i="9"/>
  <c r="I14" i="9"/>
  <c r="O13" i="9"/>
  <c r="L13" i="9"/>
  <c r="I12" i="9"/>
  <c r="O11" i="9"/>
  <c r="I10" i="9"/>
  <c r="O9" i="9"/>
  <c r="L9" i="9"/>
  <c r="I9" i="9"/>
  <c r="O8" i="9"/>
  <c r="L8" i="9"/>
  <c r="I8" i="9"/>
  <c r="O7" i="9"/>
  <c r="L7" i="9"/>
  <c r="J4" i="9"/>
  <c r="M31" i="9"/>
  <c r="L92" i="9"/>
  <c r="I46" i="9"/>
  <c r="O42" i="9"/>
  <c r="F41" i="9"/>
  <c r="F38" i="9"/>
  <c r="I35" i="9"/>
  <c r="F35" i="9"/>
  <c r="L34" i="9"/>
  <c r="F34" i="9"/>
  <c r="F33" i="9"/>
  <c r="H32" i="9"/>
  <c r="D32" i="9"/>
  <c r="O29" i="9"/>
  <c r="L29" i="9"/>
  <c r="O28" i="9"/>
  <c r="N30" i="9"/>
  <c r="L27" i="9"/>
  <c r="L26" i="9"/>
  <c r="O18" i="9"/>
  <c r="L18" i="9"/>
  <c r="O17" i="9"/>
  <c r="F17" i="9"/>
  <c r="O16" i="9"/>
  <c r="L16" i="9"/>
  <c r="O12" i="9"/>
  <c r="L12" i="9"/>
  <c r="F12" i="9"/>
  <c r="F11" i="9"/>
  <c r="O10" i="9"/>
  <c r="F9" i="9"/>
  <c r="O6" i="9"/>
  <c r="L6" i="9"/>
  <c r="D9" i="15" a="1"/>
  <c r="E117" i="15" a="1"/>
  <c r="D82" i="15" a="1"/>
  <c r="D116" i="15" a="1"/>
  <c r="D11" i="15" a="1"/>
  <c r="G117" i="15" a="1"/>
  <c r="F116" i="15" a="1"/>
  <c r="E116" i="15" a="1"/>
  <c r="F117" i="15" a="1"/>
  <c r="G153" i="15" a="1"/>
  <c r="E152" i="15" a="1"/>
  <c r="D117" i="15" a="1"/>
  <c r="D10" i="15" a="1"/>
  <c r="F152" i="15" a="1"/>
  <c r="G116" i="15" a="1"/>
  <c r="G152" i="15" a="1"/>
  <c r="D152" i="15" a="1"/>
  <c r="D83" i="15" a="1"/>
  <c r="D84" i="15" a="1"/>
  <c r="F88" i="11"/>
  <c r="F90" i="11"/>
  <c r="I73" i="11"/>
  <c r="I75" i="11"/>
  <c r="D83" i="14"/>
  <c r="F81" i="14"/>
  <c r="D152" i="15"/>
  <c r="E116" i="15"/>
  <c r="E152" i="15"/>
  <c r="F116" i="15"/>
  <c r="F152" i="15"/>
  <c r="G152" i="15"/>
  <c r="G116" i="15"/>
  <c r="D117" i="15"/>
  <c r="E117" i="15"/>
  <c r="F117" i="15"/>
  <c r="G153" i="15"/>
  <c r="G117" i="15"/>
  <c r="D116" i="15"/>
  <c r="L11" i="9"/>
  <c r="I36" i="9"/>
  <c r="O41" i="9"/>
  <c r="O43" i="9"/>
  <c r="L19" i="9"/>
  <c r="F6" i="9"/>
  <c r="F8" i="9"/>
  <c r="F14" i="9"/>
  <c r="D98" i="9"/>
  <c r="F26" i="9"/>
  <c r="F28" i="9"/>
  <c r="O36" i="9"/>
  <c r="I44" i="9"/>
  <c r="G98" i="9"/>
  <c r="J98" i="9"/>
  <c r="E32" i="9"/>
  <c r="L10" i="9"/>
  <c r="L14" i="9"/>
  <c r="M98" i="9"/>
  <c r="N32" i="9"/>
  <c r="O92" i="9"/>
  <c r="F88" i="14"/>
  <c r="I73" i="14"/>
  <c r="I7" i="9"/>
  <c r="I11" i="9"/>
  <c r="I13" i="9"/>
  <c r="I15" i="9"/>
  <c r="I25" i="9"/>
  <c r="I27" i="9"/>
  <c r="I29" i="9"/>
  <c r="F36" i="9"/>
  <c r="L41" i="9"/>
  <c r="L43" i="9"/>
  <c r="F83" i="14"/>
  <c r="I74" i="14"/>
  <c r="F89" i="14"/>
  <c r="D10" i="15"/>
  <c r="D9" i="15"/>
  <c r="D11" i="15"/>
  <c r="D83" i="15"/>
  <c r="D84" i="15"/>
  <c r="F84" i="12"/>
  <c r="F84" i="13"/>
  <c r="D82" i="15"/>
  <c r="F84" i="11"/>
  <c r="F10" i="9"/>
  <c r="F16" i="9"/>
  <c r="I39" i="9"/>
  <c r="I42" i="9"/>
  <c r="G32" i="9"/>
  <c r="I32" i="9"/>
  <c r="J30" i="9"/>
  <c r="M30" i="9"/>
  <c r="O30" i="9"/>
  <c r="F18" i="9"/>
  <c r="D23" i="9"/>
  <c r="F13" i="9"/>
  <c r="F27" i="9"/>
  <c r="O35" i="9"/>
  <c r="I38" i="9"/>
  <c r="I43" i="9"/>
  <c r="L46" i="9"/>
  <c r="I75" i="13"/>
  <c r="I76" i="13"/>
  <c r="F90" i="13"/>
  <c r="F90" i="12"/>
  <c r="I75" i="12"/>
  <c r="I78" i="12"/>
  <c r="I76" i="12"/>
  <c r="I79" i="12"/>
  <c r="G81" i="12"/>
  <c r="N40" i="9"/>
  <c r="N96" i="9"/>
  <c r="N97" i="9"/>
  <c r="O31" i="9"/>
  <c r="I28" i="9"/>
  <c r="O33" i="9"/>
  <c r="I92" i="9"/>
  <c r="E40" i="9"/>
  <c r="E30" i="9"/>
  <c r="K32" i="9"/>
  <c r="K40" i="9"/>
  <c r="O44" i="9"/>
  <c r="F32" i="9"/>
  <c r="G30" i="9"/>
  <c r="M32" i="9"/>
  <c r="O32" i="9"/>
  <c r="H30" i="9"/>
  <c r="H40" i="9"/>
  <c r="H96" i="9"/>
  <c r="H97" i="9"/>
  <c r="M37" i="9"/>
  <c r="O37" i="9"/>
  <c r="O34" i="9"/>
  <c r="F7" i="9"/>
  <c r="L28" i="9"/>
  <c r="J32" i="9"/>
  <c r="J37" i="9"/>
  <c r="L37" i="9"/>
  <c r="M4" i="9"/>
  <c r="I6" i="9"/>
  <c r="D30" i="9"/>
  <c r="D31" i="9"/>
  <c r="F31" i="9"/>
  <c r="D37" i="9"/>
  <c r="F37" i="9"/>
  <c r="O26" i="9"/>
  <c r="O38" i="9"/>
  <c r="B1" i="9"/>
  <c r="G31" i="9"/>
  <c r="I31" i="9"/>
  <c r="G37" i="9"/>
  <c r="I37" i="9"/>
  <c r="G4" i="9"/>
  <c r="J31" i="9"/>
  <c r="L31" i="9"/>
  <c r="K30" i="9"/>
  <c r="K96" i="9"/>
  <c r="K97" i="9"/>
  <c r="D12" i="15" a="1"/>
  <c r="D42" i="15" a="1"/>
  <c r="D85" i="15" a="1"/>
  <c r="E96" i="9"/>
  <c r="E97" i="9"/>
  <c r="I75" i="14"/>
  <c r="I76" i="14"/>
  <c r="I78" i="14"/>
  <c r="I79" i="14"/>
  <c r="G81" i="14"/>
  <c r="G82" i="14"/>
  <c r="I82" i="14"/>
  <c r="D12" i="15"/>
  <c r="D42" i="15"/>
  <c r="D85" i="15"/>
  <c r="F90" i="14"/>
  <c r="F84" i="14"/>
  <c r="M40" i="9"/>
  <c r="M96" i="9"/>
  <c r="M97" i="9"/>
  <c r="I30" i="9"/>
  <c r="L30" i="9"/>
  <c r="I78" i="13"/>
  <c r="I79" i="13"/>
  <c r="G81" i="13"/>
  <c r="I81" i="13"/>
  <c r="I81" i="12"/>
  <c r="G82" i="12"/>
  <c r="I82" i="12"/>
  <c r="I76" i="11"/>
  <c r="I78" i="11"/>
  <c r="L32" i="9"/>
  <c r="D40" i="9"/>
  <c r="F40" i="9"/>
  <c r="F30" i="9"/>
  <c r="F96" i="9"/>
  <c r="F97" i="9"/>
  <c r="G40" i="9"/>
  <c r="G96" i="9"/>
  <c r="G97" i="9"/>
  <c r="J40" i="9"/>
  <c r="J96" i="9"/>
  <c r="J97" i="9"/>
  <c r="D96" i="9"/>
  <c r="D97" i="9"/>
  <c r="I79" i="11"/>
  <c r="G81" i="11"/>
  <c r="G82" i="11"/>
  <c r="I82" i="11"/>
  <c r="I81" i="14"/>
  <c r="I88" i="14"/>
  <c r="L74" i="14"/>
  <c r="I89" i="14"/>
  <c r="G83" i="14"/>
  <c r="G82" i="13"/>
  <c r="I82" i="13"/>
  <c r="I83" i="13"/>
  <c r="L73" i="13"/>
  <c r="I88" i="13"/>
  <c r="G83" i="12"/>
  <c r="L74" i="12"/>
  <c r="I89" i="12"/>
  <c r="L73" i="12"/>
  <c r="I83" i="12"/>
  <c r="I88" i="12"/>
  <c r="O40" i="9"/>
  <c r="M47" i="9"/>
  <c r="N45" i="9"/>
  <c r="N47" i="9"/>
  <c r="O47" i="9"/>
  <c r="L40" i="9"/>
  <c r="L96" i="9"/>
  <c r="L97" i="9"/>
  <c r="J47" i="9"/>
  <c r="I40" i="9"/>
  <c r="G47" i="9"/>
  <c r="D47" i="9"/>
  <c r="E83" i="15" a="1"/>
  <c r="E12" i="15" a="1"/>
  <c r="E84" i="15" a="1"/>
  <c r="E10" i="15" a="1"/>
  <c r="I90" i="12"/>
  <c r="L75" i="12"/>
  <c r="L73" i="14"/>
  <c r="L75" i="14"/>
  <c r="L78" i="14"/>
  <c r="I83" i="14"/>
  <c r="I81" i="11"/>
  <c r="I88" i="11"/>
  <c r="O45" i="9"/>
  <c r="E12" i="15"/>
  <c r="E10" i="15"/>
  <c r="E84" i="15"/>
  <c r="E83" i="15"/>
  <c r="I84" i="13"/>
  <c r="I84" i="12"/>
  <c r="I90" i="14"/>
  <c r="I89" i="13"/>
  <c r="I90" i="13"/>
  <c r="L74" i="13"/>
  <c r="L75" i="13"/>
  <c r="L76" i="13"/>
  <c r="G83" i="13"/>
  <c r="L76" i="12"/>
  <c r="L78" i="12"/>
  <c r="G83" i="11"/>
  <c r="L74" i="11"/>
  <c r="I89" i="11"/>
  <c r="D50" i="9"/>
  <c r="E11" i="15" a="1"/>
  <c r="D189" i="15" a="1"/>
  <c r="E85" i="15" a="1"/>
  <c r="E9" i="15" a="1"/>
  <c r="E85" i="15"/>
  <c r="I84" i="14"/>
  <c r="L79" i="12"/>
  <c r="J81" i="12"/>
  <c r="L81" i="12"/>
  <c r="I83" i="11"/>
  <c r="I84" i="11"/>
  <c r="L73" i="11"/>
  <c r="L75" i="11"/>
  <c r="L76" i="11"/>
  <c r="L79" i="11"/>
  <c r="J81" i="11"/>
  <c r="E9" i="15"/>
  <c r="E11" i="15"/>
  <c r="D189" i="15"/>
  <c r="I90" i="11"/>
  <c r="L76" i="14"/>
  <c r="L79" i="14"/>
  <c r="J81" i="14"/>
  <c r="L81" i="14"/>
  <c r="L78" i="13"/>
  <c r="L79" i="13"/>
  <c r="J81" i="13"/>
  <c r="F45" i="9"/>
  <c r="E47" i="9"/>
  <c r="L45" i="9"/>
  <c r="K47" i="9"/>
  <c r="L47" i="9"/>
  <c r="I45" i="9"/>
  <c r="H47" i="9"/>
  <c r="I47" i="9"/>
  <c r="D49" i="9"/>
  <c r="F49" i="9"/>
  <c r="E82" i="15" a="1"/>
  <c r="J82" i="12"/>
  <c r="L82" i="12"/>
  <c r="L89" i="12"/>
  <c r="E82" i="15"/>
  <c r="J82" i="14"/>
  <c r="L82" i="14"/>
  <c r="L83" i="14"/>
  <c r="O73" i="14"/>
  <c r="L88" i="14"/>
  <c r="L81" i="13"/>
  <c r="J82" i="13"/>
  <c r="L82" i="13"/>
  <c r="O74" i="13"/>
  <c r="O74" i="12"/>
  <c r="L88" i="12"/>
  <c r="O73" i="12"/>
  <c r="L78" i="11"/>
  <c r="L81" i="11"/>
  <c r="J82" i="11"/>
  <c r="L82" i="11"/>
  <c r="F47" i="9"/>
  <c r="F85" i="15" a="1"/>
  <c r="J83" i="12"/>
  <c r="L83" i="12"/>
  <c r="F85" i="15"/>
  <c r="L84" i="12"/>
  <c r="L84" i="14"/>
  <c r="L83" i="13"/>
  <c r="L89" i="14"/>
  <c r="L90" i="14"/>
  <c r="O74" i="14"/>
  <c r="O75" i="14"/>
  <c r="J83" i="14"/>
  <c r="O73" i="13"/>
  <c r="O75" i="13"/>
  <c r="O78" i="13"/>
  <c r="L88" i="13"/>
  <c r="J83" i="13"/>
  <c r="L89" i="13"/>
  <c r="O75" i="12"/>
  <c r="O76" i="12"/>
  <c r="L90" i="12"/>
  <c r="J83" i="11"/>
  <c r="O74" i="11"/>
  <c r="L89" i="11"/>
  <c r="L83" i="11"/>
  <c r="O73" i="11"/>
  <c r="L88" i="11"/>
  <c r="F84" i="15" a="1"/>
  <c r="F10" i="15" a="1"/>
  <c r="F83" i="15" a="1"/>
  <c r="F11" i="15" a="1"/>
  <c r="F9" i="15" a="1"/>
  <c r="F82" i="15" a="1"/>
  <c r="F12" i="15" a="1"/>
  <c r="L90" i="13"/>
  <c r="F83" i="15"/>
  <c r="F10" i="15"/>
  <c r="F12" i="15"/>
  <c r="F9" i="15"/>
  <c r="F11" i="15"/>
  <c r="O78" i="12"/>
  <c r="F84" i="15"/>
  <c r="L84" i="13"/>
  <c r="F82" i="15"/>
  <c r="L84" i="11"/>
  <c r="L90" i="11"/>
  <c r="O75" i="11"/>
  <c r="O76" i="11"/>
  <c r="O79" i="11"/>
  <c r="M81" i="11"/>
  <c r="O78" i="14"/>
  <c r="O76" i="14"/>
  <c r="O79" i="14"/>
  <c r="M81" i="14"/>
  <c r="O81" i="14"/>
  <c r="O76" i="13"/>
  <c r="O79" i="13"/>
  <c r="M81" i="13"/>
  <c r="O79" i="12"/>
  <c r="M81" i="12"/>
  <c r="O78" i="11"/>
  <c r="M82" i="14"/>
  <c r="O82" i="14"/>
  <c r="O89" i="14"/>
  <c r="O88" i="14"/>
  <c r="O81" i="13"/>
  <c r="M82" i="13"/>
  <c r="O82" i="13"/>
  <c r="O89" i="13"/>
  <c r="O81" i="11"/>
  <c r="M82" i="11"/>
  <c r="O82" i="11"/>
  <c r="O89" i="11"/>
  <c r="M82" i="12"/>
  <c r="O82" i="12"/>
  <c r="O89" i="12"/>
  <c r="O81" i="12"/>
  <c r="O88" i="12"/>
  <c r="O90" i="12"/>
  <c r="M83" i="12"/>
  <c r="O90" i="14"/>
  <c r="O83" i="14"/>
  <c r="M83" i="14"/>
  <c r="O83" i="13"/>
  <c r="O88" i="13"/>
  <c r="O90" i="13"/>
  <c r="M83" i="13"/>
  <c r="M83" i="11"/>
  <c r="O83" i="11"/>
  <c r="O88" i="11"/>
  <c r="O90" i="11"/>
  <c r="E189" i="15" a="1"/>
  <c r="G84" i="15" a="1"/>
  <c r="G12" i="15" a="1"/>
  <c r="G9" i="15" a="1"/>
  <c r="G10" i="15" a="1"/>
  <c r="G11" i="15" a="1"/>
  <c r="D6" i="15" a="1"/>
  <c r="G82" i="15" a="1"/>
  <c r="G85" i="15" a="1"/>
  <c r="O83" i="12"/>
  <c r="G10" i="15"/>
  <c r="G12" i="15"/>
  <c r="G9" i="15"/>
  <c r="G11" i="15"/>
  <c r="D6" i="15"/>
  <c r="E189" i="15"/>
  <c r="G84" i="15"/>
  <c r="G85" i="15"/>
  <c r="O84" i="13"/>
  <c r="O84" i="14"/>
  <c r="G82" i="15"/>
  <c r="O84" i="11"/>
  <c r="D79" i="15" a="1"/>
  <c r="G83" i="15" a="1"/>
  <c r="G83" i="15"/>
  <c r="O84" i="12"/>
  <c r="D79" i="15"/>
  <c r="E42" i="15" a="1"/>
  <c r="E42" i="15"/>
  <c r="E6" i="15" a="1"/>
  <c r="E6" i="15"/>
  <c r="F189" i="15" a="1"/>
  <c r="E79" i="15" a="1"/>
  <c r="F189" i="15"/>
  <c r="E79" i="15"/>
  <c r="O92" i="5"/>
  <c r="L46" i="5"/>
  <c r="O45" i="5"/>
  <c r="L45" i="5"/>
  <c r="I45" i="5"/>
  <c r="L43" i="5"/>
  <c r="O42" i="5"/>
  <c r="O38" i="5"/>
  <c r="I36" i="5"/>
  <c r="I35" i="5"/>
  <c r="F35" i="5"/>
  <c r="I34" i="5"/>
  <c r="F34" i="5"/>
  <c r="M32" i="5"/>
  <c r="F33" i="5"/>
  <c r="O29" i="5"/>
  <c r="O28" i="5"/>
  <c r="L28" i="5"/>
  <c r="O27" i="5"/>
  <c r="O26" i="5"/>
  <c r="F19" i="5"/>
  <c r="O18" i="5"/>
  <c r="L18" i="5"/>
  <c r="O17" i="5"/>
  <c r="I17" i="5"/>
  <c r="F17" i="5"/>
  <c r="O15" i="5"/>
  <c r="F15" i="5"/>
  <c r="F14" i="5"/>
  <c r="O13" i="5"/>
  <c r="L13" i="5"/>
  <c r="O12" i="5"/>
  <c r="F12" i="5"/>
  <c r="O11" i="5"/>
  <c r="F11" i="5"/>
  <c r="O9" i="5"/>
  <c r="F9" i="5"/>
  <c r="I8" i="5"/>
  <c r="F8" i="5"/>
  <c r="O7" i="5"/>
  <c r="E23" i="5"/>
  <c r="G4" i="5"/>
  <c r="N83" i="5"/>
  <c r="O46" i="5"/>
  <c r="I46" i="5"/>
  <c r="F44" i="5"/>
  <c r="F43" i="5"/>
  <c r="I42" i="5"/>
  <c r="L41" i="5"/>
  <c r="F41" i="5"/>
  <c r="F39" i="5"/>
  <c r="L38" i="5"/>
  <c r="I38" i="5"/>
  <c r="L36" i="5"/>
  <c r="L35" i="5"/>
  <c r="O34" i="5"/>
  <c r="L34" i="5"/>
  <c r="L33" i="5"/>
  <c r="I33" i="5"/>
  <c r="K32" i="5"/>
  <c r="L29" i="5"/>
  <c r="F28" i="5"/>
  <c r="L27" i="5"/>
  <c r="F27" i="5"/>
  <c r="L26" i="5"/>
  <c r="I26" i="5"/>
  <c r="E30" i="5"/>
  <c r="F26" i="5"/>
  <c r="L25" i="5"/>
  <c r="O21" i="5"/>
  <c r="L21" i="5"/>
  <c r="F21" i="5"/>
  <c r="L20" i="5"/>
  <c r="I20" i="5"/>
  <c r="F20" i="5"/>
  <c r="I18" i="5"/>
  <c r="F18" i="5"/>
  <c r="O16" i="5"/>
  <c r="I16" i="5"/>
  <c r="F16" i="5"/>
  <c r="I15" i="5"/>
  <c r="O14" i="5"/>
  <c r="I13" i="5"/>
  <c r="I12" i="5"/>
  <c r="O10" i="5"/>
  <c r="I10" i="5"/>
  <c r="F10" i="5"/>
  <c r="I9" i="5"/>
  <c r="O8" i="5"/>
  <c r="I7" i="5"/>
  <c r="G23" i="5"/>
  <c r="E151" i="15" a="1"/>
  <c r="G151" i="15" a="1"/>
  <c r="F187" i="15" a="1"/>
  <c r="G115" i="15" a="1"/>
  <c r="D188" i="15" a="1"/>
  <c r="F115" i="15" a="1"/>
  <c r="E150" i="15" a="1"/>
  <c r="G40" i="15" a="1"/>
  <c r="D187" i="15" a="1"/>
  <c r="D115" i="15" a="1"/>
  <c r="G150" i="15" a="1"/>
  <c r="F6" i="15" a="1"/>
  <c r="E188" i="15" a="1"/>
  <c r="F114" i="15" a="1"/>
  <c r="F42" i="15" a="1"/>
  <c r="E187" i="15" a="1"/>
  <c r="D114" i="15" a="1"/>
  <c r="F151" i="15" a="1"/>
  <c r="D151" i="15" a="1"/>
  <c r="E114" i="15" a="1"/>
  <c r="G114" i="15" a="1"/>
  <c r="F150" i="15" a="1"/>
  <c r="F188" i="15" a="1"/>
  <c r="D150" i="15" a="1"/>
  <c r="E115" i="15" a="1"/>
  <c r="D41" i="15" a="1"/>
  <c r="F98" i="5"/>
  <c r="E187" i="15"/>
  <c r="F187" i="15"/>
  <c r="E188" i="15"/>
  <c r="F188" i="15"/>
  <c r="D41" i="15"/>
  <c r="G40" i="15"/>
  <c r="D188" i="15"/>
  <c r="G115" i="15"/>
  <c r="G151" i="15"/>
  <c r="D114" i="15"/>
  <c r="D150" i="15"/>
  <c r="D187" i="15"/>
  <c r="D115" i="15"/>
  <c r="E114" i="15"/>
  <c r="D151" i="15"/>
  <c r="E150" i="15"/>
  <c r="E115" i="15"/>
  <c r="F114" i="15"/>
  <c r="E151" i="15"/>
  <c r="F150" i="15"/>
  <c r="F115" i="15"/>
  <c r="G150" i="15"/>
  <c r="G114" i="15"/>
  <c r="F151" i="15"/>
  <c r="F42" i="15"/>
  <c r="I11" i="5"/>
  <c r="F42" i="5"/>
  <c r="I21" i="5"/>
  <c r="L15" i="5"/>
  <c r="I19" i="5"/>
  <c r="I22" i="5"/>
  <c r="I28" i="5"/>
  <c r="O36" i="5"/>
  <c r="I44" i="5"/>
  <c r="I98" i="5"/>
  <c r="J37" i="5"/>
  <c r="L37" i="5"/>
  <c r="D37" i="5"/>
  <c r="F37" i="5"/>
  <c r="L39" i="5"/>
  <c r="L42" i="5"/>
  <c r="L44" i="5"/>
  <c r="L98" i="5"/>
  <c r="F92" i="5"/>
  <c r="F6" i="5"/>
  <c r="D98" i="5"/>
  <c r="E98" i="5"/>
  <c r="F45" i="5"/>
  <c r="G98" i="5"/>
  <c r="O20" i="5"/>
  <c r="N98" i="5"/>
  <c r="L6" i="5"/>
  <c r="L10" i="5"/>
  <c r="H98" i="5"/>
  <c r="J98" i="5"/>
  <c r="O6" i="5"/>
  <c r="K98" i="5"/>
  <c r="F36" i="5"/>
  <c r="M98" i="5"/>
  <c r="F6" i="15"/>
  <c r="O19" i="5"/>
  <c r="I14" i="5"/>
  <c r="E83" i="5"/>
  <c r="L12" i="5"/>
  <c r="L16" i="5"/>
  <c r="I25" i="5"/>
  <c r="I27" i="5"/>
  <c r="O35" i="5"/>
  <c r="I41" i="5"/>
  <c r="D32" i="5"/>
  <c r="E32" i="5"/>
  <c r="F32" i="5"/>
  <c r="K30" i="5"/>
  <c r="K40" i="5"/>
  <c r="K96" i="5"/>
  <c r="K97" i="5"/>
  <c r="F7" i="5"/>
  <c r="F13" i="5"/>
  <c r="L7" i="5"/>
  <c r="L9" i="5"/>
  <c r="I39" i="5"/>
  <c r="O41" i="5"/>
  <c r="I43" i="5"/>
  <c r="O44" i="5"/>
  <c r="D31" i="5"/>
  <c r="F31" i="5"/>
  <c r="J4" i="5"/>
  <c r="K83" i="5"/>
  <c r="G37" i="5"/>
  <c r="I37" i="5"/>
  <c r="L19" i="5"/>
  <c r="M4" i="5"/>
  <c r="J31" i="5"/>
  <c r="L31" i="5"/>
  <c r="N32" i="5"/>
  <c r="H23" i="5"/>
  <c r="I23" i="5"/>
  <c r="G32" i="5"/>
  <c r="O32" i="5"/>
  <c r="K47" i="5"/>
  <c r="I92" i="5"/>
  <c r="K23" i="5"/>
  <c r="H30" i="5"/>
  <c r="N30" i="5"/>
  <c r="N40" i="5"/>
  <c r="N96" i="5"/>
  <c r="N97" i="5"/>
  <c r="H32" i="5"/>
  <c r="H40" i="5"/>
  <c r="L92" i="5"/>
  <c r="L22" i="5"/>
  <c r="F29" i="5"/>
  <c r="N23" i="5"/>
  <c r="L8" i="5"/>
  <c r="L11" i="5"/>
  <c r="L14" i="5"/>
  <c r="O22" i="5"/>
  <c r="I29" i="5"/>
  <c r="O39" i="5"/>
  <c r="O43" i="5"/>
  <c r="G30" i="5"/>
  <c r="D23" i="5"/>
  <c r="O33" i="5"/>
  <c r="G81" i="5"/>
  <c r="H81" i="5"/>
  <c r="E40" i="5"/>
  <c r="E47" i="5"/>
  <c r="E50" i="5"/>
  <c r="J23" i="5"/>
  <c r="J32" i="5"/>
  <c r="L32" i="5"/>
  <c r="M23" i="5"/>
  <c r="M30" i="5"/>
  <c r="M31" i="5"/>
  <c r="O31" i="5"/>
  <c r="M37" i="5"/>
  <c r="O37" i="5"/>
  <c r="O25" i="5"/>
  <c r="I6" i="5"/>
  <c r="F25" i="5"/>
  <c r="F38" i="5"/>
  <c r="D30" i="5"/>
  <c r="F30" i="5"/>
  <c r="B1" i="5"/>
  <c r="G31" i="5"/>
  <c r="I31" i="5"/>
  <c r="J30" i="5"/>
  <c r="L30" i="5"/>
  <c r="D40" i="15" a="1"/>
  <c r="F40" i="15" a="1"/>
  <c r="G41" i="15" a="1"/>
  <c r="F41" i="15" a="1"/>
  <c r="H96" i="5"/>
  <c r="H97" i="5"/>
  <c r="F40" i="15"/>
  <c r="G41" i="15"/>
  <c r="F41" i="15"/>
  <c r="D40" i="15"/>
  <c r="F23" i="5"/>
  <c r="D81" i="5"/>
  <c r="I73" i="5"/>
  <c r="J40" i="5"/>
  <c r="J96" i="5"/>
  <c r="J97" i="5"/>
  <c r="E96" i="5"/>
  <c r="E97" i="5"/>
  <c r="O98" i="5"/>
  <c r="I32" i="5"/>
  <c r="D40" i="5"/>
  <c r="D96" i="5"/>
  <c r="D97" i="5"/>
  <c r="K50" i="5"/>
  <c r="O30" i="5"/>
  <c r="I30" i="5"/>
  <c r="N47" i="5"/>
  <c r="N50" i="5"/>
  <c r="H47" i="5"/>
  <c r="H50" i="5"/>
  <c r="L40" i="5"/>
  <c r="L96" i="5"/>
  <c r="L97" i="5"/>
  <c r="F40" i="5"/>
  <c r="F96" i="5"/>
  <c r="F97" i="5"/>
  <c r="G40" i="5"/>
  <c r="G96" i="5"/>
  <c r="G97" i="5"/>
  <c r="O23" i="5"/>
  <c r="M81" i="5"/>
  <c r="H82" i="5"/>
  <c r="H83" i="5"/>
  <c r="I81" i="5"/>
  <c r="L73" i="5"/>
  <c r="J81" i="5"/>
  <c r="L23" i="5"/>
  <c r="M40" i="5"/>
  <c r="O40" i="5"/>
  <c r="D47" i="5"/>
  <c r="E41" i="15" a="1"/>
  <c r="F79" i="15" a="1"/>
  <c r="E40" i="15" a="1"/>
  <c r="O96" i="5"/>
  <c r="O97" i="5"/>
  <c r="E41" i="15"/>
  <c r="E40" i="15"/>
  <c r="M96" i="5"/>
  <c r="M97" i="5"/>
  <c r="F81" i="5"/>
  <c r="F88" i="5"/>
  <c r="F79" i="15"/>
  <c r="J47" i="5"/>
  <c r="L47" i="5"/>
  <c r="L50" i="5"/>
  <c r="L72" i="5"/>
  <c r="I88" i="5"/>
  <c r="M47" i="5"/>
  <c r="O81" i="5"/>
  <c r="I40" i="5"/>
  <c r="I96" i="5"/>
  <c r="I97" i="5"/>
  <c r="G47" i="5"/>
  <c r="F47" i="5"/>
  <c r="F50" i="5"/>
  <c r="F72" i="5"/>
  <c r="D50" i="5"/>
  <c r="D49" i="5"/>
  <c r="L81" i="5"/>
  <c r="O73" i="5"/>
  <c r="G42" i="15" a="1"/>
  <c r="G42" i="15"/>
  <c r="J50" i="5"/>
  <c r="J49" i="5"/>
  <c r="J82" i="5"/>
  <c r="I47" i="5"/>
  <c r="I50" i="5"/>
  <c r="I72" i="5"/>
  <c r="G50" i="5"/>
  <c r="G49" i="5"/>
  <c r="O88" i="5"/>
  <c r="L88" i="5"/>
  <c r="O47" i="5"/>
  <c r="O50" i="5"/>
  <c r="O72" i="5"/>
  <c r="M50" i="5"/>
  <c r="M49" i="5"/>
  <c r="F49" i="5"/>
  <c r="L49" i="5"/>
  <c r="L82" i="5"/>
  <c r="O74" i="5"/>
  <c r="O75" i="5"/>
  <c r="J83" i="5"/>
  <c r="O49" i="5"/>
  <c r="M82" i="5"/>
  <c r="F78" i="5"/>
  <c r="F76" i="5"/>
  <c r="F79" i="5"/>
  <c r="D82" i="5"/>
  <c r="D83" i="5"/>
  <c r="G82" i="5"/>
  <c r="I49" i="5"/>
  <c r="F4" i="15" a="1"/>
  <c r="D4" i="15" a="1"/>
  <c r="F4" i="15"/>
  <c r="I74" i="5"/>
  <c r="I75" i="5"/>
  <c r="I78" i="5"/>
  <c r="F82" i="5"/>
  <c r="F89" i="5"/>
  <c r="F90" i="5"/>
  <c r="D4" i="15"/>
  <c r="L74" i="5"/>
  <c r="L75" i="5"/>
  <c r="I82" i="5"/>
  <c r="G83" i="5"/>
  <c r="O82" i="5"/>
  <c r="M83" i="5"/>
  <c r="O78" i="5"/>
  <c r="O76" i="5"/>
  <c r="O79" i="5"/>
  <c r="L89" i="5"/>
  <c r="L90" i="5"/>
  <c r="L83" i="5"/>
  <c r="F77" i="15" a="1"/>
  <c r="E4" i="15" a="1"/>
  <c r="G4" i="15" a="1"/>
  <c r="I76" i="5"/>
  <c r="I79" i="5"/>
  <c r="E4" i="15"/>
  <c r="G4" i="15"/>
  <c r="F83" i="5"/>
  <c r="F77" i="15"/>
  <c r="L84" i="5"/>
  <c r="F84" i="5"/>
  <c r="I89" i="5"/>
  <c r="I90" i="5"/>
  <c r="I83" i="5"/>
  <c r="O89" i="5"/>
  <c r="O90" i="5"/>
  <c r="O83" i="5"/>
  <c r="L78" i="5"/>
  <c r="L76" i="5"/>
  <c r="L79" i="5"/>
  <c r="G77" i="15" a="1"/>
  <c r="G79" i="15" a="1"/>
  <c r="D5" i="15" a="1"/>
  <c r="D77" i="15" a="1"/>
  <c r="G6" i="15" a="1"/>
  <c r="E77" i="15" a="1"/>
  <c r="D77" i="15"/>
  <c r="G6" i="15"/>
  <c r="D5" i="15"/>
  <c r="E77" i="15"/>
  <c r="G79" i="15"/>
  <c r="G77" i="15"/>
  <c r="I84" i="5"/>
  <c r="O84" i="5"/>
  <c r="D78" i="15" a="1"/>
  <c r="D78" i="15"/>
  <c r="E5" i="15" a="1"/>
  <c r="E5" i="15"/>
  <c r="E78" i="15" a="1"/>
  <c r="E78" i="15"/>
  <c r="M37" i="1"/>
  <c r="D31" i="1"/>
  <c r="G37" i="1"/>
  <c r="B1" i="1"/>
  <c r="J31" i="1"/>
  <c r="J37" i="1"/>
  <c r="M31" i="1"/>
  <c r="G31" i="1"/>
  <c r="N83" i="1"/>
  <c r="O36" i="1"/>
  <c r="O17" i="1"/>
  <c r="F21" i="1"/>
  <c r="F15" i="1"/>
  <c r="F14" i="1"/>
  <c r="F8" i="1"/>
  <c r="I45" i="1"/>
  <c r="I41" i="1"/>
  <c r="L45" i="1"/>
  <c r="L44" i="1"/>
  <c r="L38" i="1"/>
  <c r="L31" i="1"/>
  <c r="L28" i="1"/>
  <c r="L18" i="1"/>
  <c r="L16" i="1"/>
  <c r="L12" i="1"/>
  <c r="L11" i="1"/>
  <c r="L10" i="1"/>
  <c r="L8" i="1"/>
  <c r="I44" i="1"/>
  <c r="I42" i="1"/>
  <c r="I39" i="1"/>
  <c r="I38" i="1"/>
  <c r="I37" i="1"/>
  <c r="I36" i="1"/>
  <c r="I26" i="1"/>
  <c r="F44" i="1"/>
  <c r="F37" i="1"/>
  <c r="F34" i="1"/>
  <c r="D32" i="1"/>
  <c r="F27" i="1"/>
  <c r="F26" i="1"/>
  <c r="I19" i="1"/>
  <c r="I17" i="1"/>
  <c r="I13" i="1"/>
  <c r="I11" i="1"/>
  <c r="K83" i="1"/>
  <c r="E83" i="1"/>
  <c r="O46" i="1"/>
  <c r="O45" i="1"/>
  <c r="F45" i="1"/>
  <c r="F43" i="1"/>
  <c r="L42" i="1"/>
  <c r="O39" i="1"/>
  <c r="F38" i="1"/>
  <c r="O37" i="1"/>
  <c r="O33" i="1"/>
  <c r="I33" i="1"/>
  <c r="O31" i="1"/>
  <c r="F31" i="1"/>
  <c r="O29" i="1"/>
  <c r="J30" i="1"/>
  <c r="I25" i="1"/>
  <c r="O22" i="1"/>
  <c r="O21" i="1"/>
  <c r="O20" i="1"/>
  <c r="F19" i="1"/>
  <c r="F17" i="1"/>
  <c r="O16" i="1"/>
  <c r="F16" i="1"/>
  <c r="O15" i="1"/>
  <c r="O14" i="1"/>
  <c r="L13" i="1"/>
  <c r="F13" i="1"/>
  <c r="O10" i="1"/>
  <c r="F10" i="1"/>
  <c r="O9" i="1"/>
  <c r="L7" i="1"/>
  <c r="F7" i="1"/>
  <c r="I6" i="1"/>
  <c r="G4" i="1"/>
  <c r="D186" i="15" a="1"/>
  <c r="D113" i="15" a="1"/>
  <c r="E186" i="15" a="1"/>
  <c r="G113" i="15" a="1"/>
  <c r="F113" i="15" a="1"/>
  <c r="D39" i="15" a="1"/>
  <c r="G39" i="15" a="1"/>
  <c r="F186" i="15" a="1"/>
  <c r="E113" i="15" a="1"/>
  <c r="F149" i="15" a="1"/>
  <c r="E149" i="15" a="1"/>
  <c r="D149" i="15" a="1"/>
  <c r="F39" i="15" a="1"/>
  <c r="G149" i="15" a="1"/>
  <c r="F39" i="15"/>
  <c r="G39" i="15"/>
  <c r="D113" i="15"/>
  <c r="D149" i="15"/>
  <c r="D186" i="15"/>
  <c r="G149" i="15"/>
  <c r="G113" i="15"/>
  <c r="E149" i="15"/>
  <c r="E186" i="15"/>
  <c r="E113" i="15"/>
  <c r="F113" i="15"/>
  <c r="D39" i="15"/>
  <c r="F149" i="15"/>
  <c r="F186" i="15"/>
  <c r="L35" i="1"/>
  <c r="L36" i="1"/>
  <c r="O28" i="1"/>
  <c r="I31" i="1"/>
  <c r="F20" i="1"/>
  <c r="F98" i="1"/>
  <c r="L27" i="1"/>
  <c r="L20" i="1"/>
  <c r="L98" i="1"/>
  <c r="K32" i="1"/>
  <c r="I7" i="1"/>
  <c r="I29" i="1"/>
  <c r="L21" i="1"/>
  <c r="F9" i="1"/>
  <c r="O26" i="1"/>
  <c r="L37" i="1"/>
  <c r="L92" i="1"/>
  <c r="O8" i="1"/>
  <c r="O44" i="1"/>
  <c r="O98" i="1"/>
  <c r="I12" i="1"/>
  <c r="N32" i="1"/>
  <c r="N40" i="1"/>
  <c r="O35" i="1"/>
  <c r="F11" i="1"/>
  <c r="O11" i="1"/>
  <c r="O34" i="1"/>
  <c r="I28" i="1"/>
  <c r="L14" i="1"/>
  <c r="F6" i="1"/>
  <c r="F12" i="1"/>
  <c r="F18" i="1"/>
  <c r="N30" i="1"/>
  <c r="O92" i="1"/>
  <c r="I9" i="1"/>
  <c r="I15" i="1"/>
  <c r="F29" i="1"/>
  <c r="L9" i="1"/>
  <c r="I22" i="1"/>
  <c r="F39" i="1"/>
  <c r="L15" i="1"/>
  <c r="L22" i="1"/>
  <c r="L46" i="1"/>
  <c r="L39" i="1"/>
  <c r="N23" i="1"/>
  <c r="O12" i="1"/>
  <c r="O18" i="1"/>
  <c r="O43" i="1"/>
  <c r="L25" i="1"/>
  <c r="F33" i="1"/>
  <c r="I34" i="1"/>
  <c r="J32" i="1"/>
  <c r="L32" i="1"/>
  <c r="F42" i="1"/>
  <c r="O13" i="1"/>
  <c r="O19" i="1"/>
  <c r="L26" i="1"/>
  <c r="I18" i="1"/>
  <c r="F35" i="1"/>
  <c r="I35" i="1"/>
  <c r="I43" i="1"/>
  <c r="O38" i="1"/>
  <c r="I27" i="1"/>
  <c r="L19" i="1"/>
  <c r="L43" i="1"/>
  <c r="I8" i="1"/>
  <c r="I14" i="1"/>
  <c r="I20" i="1"/>
  <c r="I98" i="1"/>
  <c r="F28" i="1"/>
  <c r="K23" i="1"/>
  <c r="L29" i="1"/>
  <c r="O41" i="1"/>
  <c r="J4" i="1"/>
  <c r="M4" i="1"/>
  <c r="F36" i="1"/>
  <c r="H32" i="1"/>
  <c r="H40" i="1"/>
  <c r="L41" i="1"/>
  <c r="O7" i="1"/>
  <c r="O27" i="1"/>
  <c r="O42" i="1"/>
  <c r="I92" i="1"/>
  <c r="D30" i="1"/>
  <c r="D40" i="1"/>
  <c r="D96" i="1"/>
  <c r="D97" i="1"/>
  <c r="I10" i="1"/>
  <c r="I16" i="1"/>
  <c r="G30" i="1"/>
  <c r="K30" i="1"/>
  <c r="E32" i="1"/>
  <c r="F32" i="1"/>
  <c r="M32" i="1"/>
  <c r="G32" i="1"/>
  <c r="G40" i="1"/>
  <c r="L33" i="1"/>
  <c r="F41" i="1"/>
  <c r="F92" i="1"/>
  <c r="O6" i="1"/>
  <c r="L34" i="1"/>
  <c r="K40" i="1"/>
  <c r="J23" i="1"/>
  <c r="H30" i="1"/>
  <c r="I46" i="1"/>
  <c r="G23" i="1"/>
  <c r="G81" i="1"/>
  <c r="L73" i="1"/>
  <c r="H23" i="1"/>
  <c r="H81" i="1"/>
  <c r="H82" i="1"/>
  <c r="E23" i="1"/>
  <c r="D23" i="1"/>
  <c r="M23" i="1"/>
  <c r="M81" i="1"/>
  <c r="M30" i="1"/>
  <c r="I21" i="1"/>
  <c r="O25" i="1"/>
  <c r="E30" i="1"/>
  <c r="F25" i="1"/>
  <c r="L6" i="1"/>
  <c r="F78" i="15" a="1"/>
  <c r="F5" i="15" a="1"/>
  <c r="N96" i="1"/>
  <c r="N97" i="1"/>
  <c r="O32" i="1"/>
  <c r="H96" i="1"/>
  <c r="H97" i="1"/>
  <c r="L30" i="1"/>
  <c r="K96" i="1"/>
  <c r="K97" i="1"/>
  <c r="G96" i="1"/>
  <c r="G97" i="1"/>
  <c r="M40" i="1"/>
  <c r="M96" i="1"/>
  <c r="M97" i="1"/>
  <c r="E40" i="1"/>
  <c r="E96" i="1"/>
  <c r="E97" i="1"/>
  <c r="F5" i="15"/>
  <c r="I40" i="1"/>
  <c r="D81" i="1"/>
  <c r="I73" i="1"/>
  <c r="D47" i="1"/>
  <c r="D50" i="1"/>
  <c r="D49" i="1"/>
  <c r="F78" i="15"/>
  <c r="F40" i="1"/>
  <c r="F81" i="1"/>
  <c r="K47" i="1"/>
  <c r="K50" i="1"/>
  <c r="I81" i="1"/>
  <c r="H83" i="1"/>
  <c r="L23" i="1"/>
  <c r="J81" i="1"/>
  <c r="O73" i="1"/>
  <c r="O81" i="1"/>
  <c r="O40" i="1"/>
  <c r="O30" i="1"/>
  <c r="O96" i="1"/>
  <c r="O97" i="1"/>
  <c r="N47" i="1"/>
  <c r="N50" i="1"/>
  <c r="I32" i="1"/>
  <c r="I30" i="1"/>
  <c r="I96" i="1"/>
  <c r="I97" i="1"/>
  <c r="J40" i="1"/>
  <c r="F30" i="1"/>
  <c r="F96" i="1"/>
  <c r="F97" i="1"/>
  <c r="H47" i="1"/>
  <c r="H50" i="1"/>
  <c r="G47" i="1"/>
  <c r="I47" i="1"/>
  <c r="I23" i="1"/>
  <c r="F23" i="1"/>
  <c r="O23" i="1"/>
  <c r="E39" i="15" a="1"/>
  <c r="J47" i="1"/>
  <c r="J50" i="1"/>
  <c r="J49" i="1"/>
  <c r="L49" i="1"/>
  <c r="J96" i="1"/>
  <c r="J97" i="1"/>
  <c r="E47" i="1"/>
  <c r="E39" i="15"/>
  <c r="F49" i="1"/>
  <c r="D82" i="1"/>
  <c r="I74" i="1"/>
  <c r="I75" i="1"/>
  <c r="L47" i="1"/>
  <c r="L50" i="1"/>
  <c r="L72" i="1"/>
  <c r="M47" i="1"/>
  <c r="O47" i="1"/>
  <c r="O50" i="1"/>
  <c r="O72" i="1"/>
  <c r="J82" i="1"/>
  <c r="J83" i="1"/>
  <c r="L81" i="1"/>
  <c r="O88" i="1"/>
  <c r="I88" i="1"/>
  <c r="L40" i="1"/>
  <c r="L96" i="1"/>
  <c r="L97" i="1"/>
  <c r="F88" i="1"/>
  <c r="G50" i="1"/>
  <c r="G49" i="1"/>
  <c r="I50" i="1"/>
  <c r="I72" i="1"/>
  <c r="E50" i="1"/>
  <c r="F47" i="1"/>
  <c r="F50" i="1"/>
  <c r="F72" i="1"/>
  <c r="F3" i="15" a="1"/>
  <c r="M50" i="1"/>
  <c r="M49" i="1"/>
  <c r="F78" i="1"/>
  <c r="F3" i="15"/>
  <c r="L82" i="1"/>
  <c r="L89" i="1"/>
  <c r="O74" i="1"/>
  <c r="O75" i="1"/>
  <c r="F76" i="1"/>
  <c r="F79" i="1"/>
  <c r="F82" i="1"/>
  <c r="D83" i="1"/>
  <c r="I49" i="1"/>
  <c r="I78" i="1"/>
  <c r="G82" i="1"/>
  <c r="L74" i="1"/>
  <c r="L75" i="1"/>
  <c r="O49" i="1"/>
  <c r="M82" i="1"/>
  <c r="L88" i="1"/>
  <c r="D3" i="15" a="1"/>
  <c r="L90" i="1"/>
  <c r="L83" i="1"/>
  <c r="O78" i="1"/>
  <c r="D3" i="15"/>
  <c r="L84" i="1"/>
  <c r="L78" i="1"/>
  <c r="L76" i="1"/>
  <c r="L79" i="1"/>
  <c r="O82" i="1"/>
  <c r="M83" i="1"/>
  <c r="O76" i="1"/>
  <c r="O79" i="1"/>
  <c r="I82" i="1"/>
  <c r="G83" i="1"/>
  <c r="I76" i="1"/>
  <c r="I79" i="1"/>
  <c r="F89" i="1"/>
  <c r="F90" i="1"/>
  <c r="F83" i="1"/>
  <c r="G5" i="15" a="1"/>
  <c r="G78" i="15" a="1"/>
  <c r="D76" i="15" a="1"/>
  <c r="F76" i="15" a="1"/>
  <c r="G3" i="15" a="1"/>
  <c r="E3" i="15" a="1"/>
  <c r="F76" i="15"/>
  <c r="G5" i="15"/>
  <c r="E3" i="15"/>
  <c r="G3" i="15"/>
  <c r="D76" i="15"/>
  <c r="G78" i="15"/>
  <c r="F84" i="1"/>
  <c r="I89" i="1"/>
  <c r="I90" i="1"/>
  <c r="I83" i="1"/>
  <c r="O89" i="1"/>
  <c r="O90" i="1"/>
  <c r="O83" i="1"/>
  <c r="E76" i="15" a="1"/>
  <c r="G76" i="15" a="1"/>
  <c r="G76" i="15"/>
  <c r="E76" i="15"/>
  <c r="O84" i="1"/>
  <c r="I84" i="1"/>
  <c r="E154" i="15" a="1"/>
  <c r="F153" i="15" a="1"/>
  <c r="D153" i="15" a="1"/>
  <c r="D154" i="15" a="1"/>
  <c r="D154" i="15"/>
  <c r="D153" i="15"/>
  <c r="F153" i="15"/>
  <c r="E154" i="15"/>
  <c r="O20" i="9"/>
  <c r="O98" i="9"/>
  <c r="N98" i="9"/>
  <c r="E98" i="10"/>
  <c r="F20" i="9"/>
  <c r="F98" i="9"/>
  <c r="E98" i="9"/>
  <c r="L20" i="9"/>
  <c r="L98" i="9"/>
  <c r="K98" i="9"/>
  <c r="H98" i="10"/>
  <c r="F20" i="10"/>
  <c r="F98" i="10"/>
  <c r="E23" i="10"/>
  <c r="I20" i="10"/>
  <c r="I98" i="10"/>
  <c r="H23" i="10"/>
  <c r="O20" i="10"/>
  <c r="O98" i="10"/>
  <c r="N23" i="10"/>
  <c r="N50" i="10"/>
  <c r="L20" i="10"/>
  <c r="L98" i="10"/>
  <c r="K23" i="10"/>
  <c r="E153" i="15" a="1"/>
  <c r="E153" i="15"/>
  <c r="I20" i="9"/>
  <c r="I98" i="9"/>
  <c r="H98" i="9"/>
  <c r="K50" i="10"/>
  <c r="K81" i="10"/>
  <c r="L23" i="10"/>
  <c r="L50" i="10"/>
  <c r="L72" i="10"/>
  <c r="O23" i="10"/>
  <c r="O50" i="10"/>
  <c r="O72" i="10"/>
  <c r="H81" i="10"/>
  <c r="I23" i="10"/>
  <c r="I50" i="10"/>
  <c r="I72" i="10"/>
  <c r="H50" i="10"/>
  <c r="H82" i="10"/>
  <c r="F23" i="10"/>
  <c r="F50" i="10"/>
  <c r="F72" i="10"/>
  <c r="E81" i="10"/>
  <c r="E50" i="10"/>
  <c r="E82" i="10"/>
  <c r="E83" i="10"/>
  <c r="F78" i="10"/>
  <c r="F76" i="10"/>
  <c r="F79" i="10"/>
  <c r="D81" i="10"/>
  <c r="D82" i="10"/>
  <c r="H83" i="10"/>
  <c r="K82" i="10"/>
  <c r="K83" i="10"/>
  <c r="F44" i="15" a="1"/>
  <c r="D44" i="15" a="1"/>
  <c r="E44" i="15" a="1"/>
  <c r="F44" i="15"/>
  <c r="E44" i="15"/>
  <c r="D44" i="15"/>
  <c r="F81" i="10"/>
  <c r="F82" i="10"/>
  <c r="D83" i="10"/>
  <c r="D8" i="15" a="1"/>
  <c r="D8" i="15"/>
  <c r="I74" i="10"/>
  <c r="F89" i="10"/>
  <c r="I73" i="10"/>
  <c r="I75" i="10"/>
  <c r="F88" i="10"/>
  <c r="F90" i="10"/>
  <c r="F83" i="10"/>
  <c r="D81" i="15" a="1"/>
  <c r="D81" i="15"/>
  <c r="F84" i="10"/>
  <c r="I76" i="10"/>
  <c r="I79" i="10"/>
  <c r="G81" i="10"/>
  <c r="I78" i="10"/>
  <c r="I81" i="10"/>
  <c r="G82" i="10"/>
  <c r="I82" i="10"/>
  <c r="G83" i="10"/>
  <c r="E8" i="15" a="1"/>
  <c r="E8" i="15"/>
  <c r="L74" i="10"/>
  <c r="I89" i="10"/>
  <c r="I83" i="10"/>
  <c r="L73" i="10"/>
  <c r="L75" i="10"/>
  <c r="I88" i="10"/>
  <c r="I90" i="10"/>
  <c r="E81" i="15" a="1"/>
  <c r="E81" i="15"/>
  <c r="I84" i="10"/>
  <c r="L76" i="10"/>
  <c r="L79" i="10"/>
  <c r="J81" i="10"/>
  <c r="L78" i="10"/>
  <c r="L81" i="10"/>
  <c r="J82" i="10"/>
  <c r="L82" i="10"/>
  <c r="J83" i="10"/>
  <c r="F8" i="15" a="1"/>
  <c r="F8" i="15"/>
  <c r="O74" i="10"/>
  <c r="L89" i="10"/>
  <c r="O73" i="10"/>
  <c r="O75" i="10"/>
  <c r="L88" i="10"/>
  <c r="L83" i="10"/>
  <c r="F81" i="15" a="1"/>
  <c r="F81" i="15"/>
  <c r="L84" i="10"/>
  <c r="O78" i="10"/>
  <c r="O76" i="10"/>
  <c r="L90" i="10"/>
  <c r="O79" i="10"/>
  <c r="N81" i="10"/>
  <c r="M81" i="10"/>
  <c r="N82" i="10"/>
  <c r="N83" i="10"/>
  <c r="M82" i="10"/>
  <c r="O81" i="10"/>
  <c r="G44" i="15" a="1"/>
  <c r="G44" i="15"/>
  <c r="O88" i="10"/>
  <c r="O82" i="10"/>
  <c r="O89" i="10"/>
  <c r="M83" i="10"/>
  <c r="G8" i="15" a="1"/>
  <c r="G8" i="15"/>
  <c r="O90" i="10"/>
  <c r="O83" i="10"/>
  <c r="E23" i="9"/>
  <c r="F21" i="9"/>
  <c r="G81" i="15" a="1"/>
  <c r="G81" i="15"/>
  <c r="O84" i="10"/>
  <c r="F23" i="9"/>
  <c r="F50" i="9"/>
  <c r="F72" i="9"/>
  <c r="F76" i="9"/>
  <c r="E81" i="9"/>
  <c r="F78" i="9"/>
  <c r="E50" i="9"/>
  <c r="E82" i="9"/>
  <c r="E83" i="9"/>
  <c r="F79" i="9"/>
  <c r="D43" i="15" a="1"/>
  <c r="D43" i="15"/>
  <c r="D81" i="9"/>
  <c r="D82" i="9"/>
  <c r="G23" i="9"/>
  <c r="I22" i="9"/>
  <c r="F81" i="9"/>
  <c r="F82" i="9"/>
  <c r="F89" i="9"/>
  <c r="I74" i="9"/>
  <c r="F83" i="9"/>
  <c r="F88" i="9"/>
  <c r="F90" i="9"/>
  <c r="I73" i="9"/>
  <c r="I75" i="9"/>
  <c r="D83" i="9"/>
  <c r="G50" i="9"/>
  <c r="G49" i="9"/>
  <c r="D7" i="15" a="1"/>
  <c r="D80" i="15" a="1"/>
  <c r="D7" i="15"/>
  <c r="D80" i="15"/>
  <c r="F84" i="9"/>
  <c r="I21" i="9"/>
  <c r="I96" i="9"/>
  <c r="I97" i="9"/>
  <c r="H23" i="9"/>
  <c r="H81" i="9"/>
  <c r="I49" i="9"/>
  <c r="H50" i="9"/>
  <c r="H82" i="9"/>
  <c r="H83" i="9"/>
  <c r="I23" i="9"/>
  <c r="I50" i="9"/>
  <c r="I72" i="9"/>
  <c r="E43" i="15" a="1"/>
  <c r="E43" i="15"/>
  <c r="I76" i="9"/>
  <c r="I78" i="9"/>
  <c r="I79" i="9"/>
  <c r="G81" i="9"/>
  <c r="I81" i="9"/>
  <c r="G82" i="9"/>
  <c r="I82" i="9"/>
  <c r="L22" i="9"/>
  <c r="J23" i="9"/>
  <c r="J50" i="9"/>
  <c r="I89" i="9"/>
  <c r="L74" i="9"/>
  <c r="I83" i="9"/>
  <c r="L73" i="9"/>
  <c r="L75" i="9"/>
  <c r="I88" i="9"/>
  <c r="I90" i="9"/>
  <c r="G83" i="9"/>
  <c r="E7" i="15" a="1"/>
  <c r="E80" i="15" a="1"/>
  <c r="E7" i="15"/>
  <c r="E80" i="15"/>
  <c r="I84" i="9"/>
  <c r="L21" i="9"/>
  <c r="K23" i="9"/>
  <c r="K81" i="9"/>
  <c r="J49" i="9"/>
  <c r="L49" i="9"/>
  <c r="K50" i="9"/>
  <c r="K82" i="9"/>
  <c r="L23" i="9"/>
  <c r="L50" i="9"/>
  <c r="L72" i="9"/>
  <c r="L76" i="9"/>
  <c r="L78" i="9"/>
  <c r="L79" i="9"/>
  <c r="J81" i="9"/>
  <c r="K83" i="9"/>
  <c r="L81" i="9"/>
  <c r="J82" i="9"/>
  <c r="L82" i="9"/>
  <c r="O22" i="9"/>
  <c r="M23" i="9"/>
  <c r="F43" i="15" a="1"/>
  <c r="F43" i="15"/>
  <c r="N21" i="9"/>
  <c r="M50" i="9"/>
  <c r="M49" i="9"/>
  <c r="J83" i="9"/>
  <c r="O74" i="9"/>
  <c r="L89" i="9"/>
  <c r="L83" i="9"/>
  <c r="L88" i="9"/>
  <c r="O73" i="9"/>
  <c r="F7" i="15" a="1"/>
  <c r="F80" i="15" a="1"/>
  <c r="O75" i="9"/>
  <c r="L90" i="9"/>
  <c r="F7" i="15"/>
  <c r="F80" i="15"/>
  <c r="L84" i="9"/>
  <c r="O49" i="9"/>
  <c r="N23" i="9"/>
  <c r="N81" i="9"/>
  <c r="O21" i="9"/>
  <c r="O96" i="9"/>
  <c r="O97" i="9"/>
  <c r="N50" i="9"/>
  <c r="N82" i="9"/>
  <c r="N83" i="9"/>
  <c r="O23" i="9"/>
  <c r="O50" i="9"/>
  <c r="O72" i="9"/>
  <c r="G43" i="15" a="1"/>
  <c r="G43" i="15"/>
  <c r="O78" i="9"/>
  <c r="O76" i="9"/>
  <c r="O79" i="9"/>
  <c r="M81" i="9"/>
  <c r="O81" i="9"/>
  <c r="M82" i="9"/>
  <c r="O82" i="9"/>
  <c r="O89" i="9"/>
  <c r="M83" i="9"/>
  <c r="O88" i="9"/>
  <c r="O90" i="9"/>
  <c r="O83" i="9"/>
  <c r="G7" i="15" a="1"/>
  <c r="G80" i="15" a="1"/>
  <c r="G7" i="15"/>
  <c r="G80" i="15"/>
  <c r="O84" i="9"/>
  <c r="D209" i="15" a="1"/>
  <c r="D209" i="15"/>
  <c r="F21" i="30"/>
  <c r="E23" i="30"/>
  <c r="E81" i="30"/>
  <c r="E96" i="30"/>
  <c r="E97" i="30"/>
  <c r="F23" i="30"/>
  <c r="F50" i="30"/>
  <c r="F72" i="30"/>
  <c r="E50" i="30"/>
  <c r="E82" i="30"/>
  <c r="E83" i="30"/>
  <c r="D62" i="15" a="1"/>
  <c r="D62" i="15"/>
  <c r="F78" i="30"/>
  <c r="F76" i="30"/>
  <c r="F79" i="30"/>
  <c r="D81" i="30"/>
  <c r="D82" i="30"/>
  <c r="F82" i="30"/>
  <c r="F81" i="30"/>
  <c r="D83" i="30"/>
  <c r="D26" i="15" a="1"/>
  <c r="D26" i="15"/>
  <c r="I73" i="30"/>
  <c r="F88" i="30"/>
  <c r="F83" i="30"/>
  <c r="F89" i="30"/>
  <c r="I74" i="30"/>
  <c r="D99" i="15" a="1"/>
  <c r="D99" i="15"/>
  <c r="F84" i="30"/>
  <c r="I75" i="30"/>
  <c r="F90" i="30"/>
  <c r="I76" i="30"/>
  <c r="I78" i="30"/>
  <c r="I79" i="30"/>
  <c r="G81" i="30"/>
  <c r="G82" i="30"/>
  <c r="I82" i="30"/>
  <c r="I81" i="30"/>
  <c r="L73" i="30"/>
  <c r="I83" i="30"/>
  <c r="I88" i="30"/>
  <c r="L74" i="30"/>
  <c r="I89" i="30"/>
  <c r="G83" i="30"/>
  <c r="E26" i="15" a="1"/>
  <c r="E99" i="15" a="1"/>
  <c r="E26" i="15"/>
  <c r="E99" i="15"/>
  <c r="I90" i="30"/>
  <c r="I84" i="30"/>
  <c r="L75" i="30"/>
  <c r="L76" i="30"/>
  <c r="L78" i="30"/>
  <c r="L79" i="30"/>
  <c r="J81" i="30"/>
  <c r="J82" i="30"/>
  <c r="L82" i="30"/>
  <c r="L81" i="30"/>
  <c r="O73" i="30"/>
  <c r="L88" i="30"/>
  <c r="L83" i="30"/>
  <c r="O74" i="30"/>
  <c r="L89" i="30"/>
  <c r="J83" i="30"/>
  <c r="F99" i="15" a="1"/>
  <c r="F26" i="15" a="1"/>
  <c r="F26" i="15"/>
  <c r="F99" i="15"/>
  <c r="L90" i="30"/>
  <c r="L84" i="30"/>
  <c r="O75" i="30"/>
  <c r="O76" i="30"/>
  <c r="O78" i="30"/>
  <c r="O79" i="30"/>
  <c r="M81" i="30"/>
  <c r="O81" i="30"/>
  <c r="M82" i="30"/>
  <c r="O82" i="30"/>
  <c r="O89" i="30"/>
  <c r="O88" i="30"/>
  <c r="M83" i="30"/>
  <c r="G26" i="15" a="1"/>
  <c r="O90" i="30"/>
  <c r="O83" i="30"/>
  <c r="G26" i="15"/>
  <c r="O84" i="30"/>
  <c r="G99" i="15" a="1"/>
  <c r="G99" i="15"/>
  <c r="N116" i="15"/>
  <c r="P157" i="15"/>
  <c r="P113" i="15"/>
  <c r="P133" i="15"/>
  <c r="Q138" i="15"/>
  <c r="P160" i="15"/>
  <c r="O163" i="15"/>
  <c r="Q217" i="15"/>
  <c r="N209" i="15"/>
  <c r="O33" i="15"/>
  <c r="P39" i="15"/>
  <c r="Q65" i="15"/>
  <c r="N144" i="15"/>
  <c r="O120" i="15"/>
  <c r="O179" i="15"/>
  <c r="N174" i="15"/>
  <c r="N196" i="15"/>
  <c r="O31" i="15"/>
  <c r="P10" i="15"/>
  <c r="O51" i="15"/>
  <c r="N55" i="15"/>
  <c r="P138" i="15"/>
  <c r="O132" i="15"/>
  <c r="Q133" i="15"/>
  <c r="O116" i="15"/>
  <c r="P121" i="15"/>
  <c r="O141" i="15"/>
  <c r="P116" i="15"/>
  <c r="N133" i="15"/>
  <c r="Q126" i="15"/>
  <c r="N149" i="15"/>
  <c r="O171" i="15"/>
  <c r="P180" i="15"/>
  <c r="Q181" i="15"/>
  <c r="N181" i="15"/>
  <c r="O174" i="15"/>
  <c r="Q159" i="15"/>
  <c r="N161" i="15"/>
  <c r="N164" i="15"/>
  <c r="N193" i="15"/>
  <c r="O198" i="15"/>
  <c r="Q187" i="15"/>
  <c r="P194" i="15"/>
  <c r="Q211" i="15"/>
  <c r="P203" i="15"/>
  <c r="Q206" i="15"/>
  <c r="O217" i="15"/>
  <c r="N3" i="15"/>
  <c r="N10" i="15"/>
  <c r="Q9" i="15"/>
  <c r="O21" i="15"/>
  <c r="N33" i="15"/>
  <c r="P31" i="15"/>
  <c r="Q30" i="15"/>
  <c r="P32" i="15"/>
  <c r="O34" i="15"/>
  <c r="P69" i="15"/>
  <c r="Q51" i="15"/>
  <c r="O41" i="15"/>
  <c r="N45" i="15"/>
  <c r="Q50" i="15"/>
  <c r="P58" i="15"/>
  <c r="O64" i="15"/>
  <c r="N70" i="15"/>
  <c r="N68" i="15"/>
  <c r="O126" i="15"/>
  <c r="O124" i="15"/>
  <c r="Q124" i="15"/>
  <c r="O149" i="15"/>
  <c r="O165" i="15"/>
  <c r="P178" i="15"/>
  <c r="Q175" i="15"/>
  <c r="N177" i="15"/>
  <c r="O172" i="15"/>
  <c r="Q151" i="15"/>
  <c r="N151" i="15"/>
  <c r="N162" i="15"/>
  <c r="N189" i="15"/>
  <c r="O196" i="15"/>
  <c r="N219" i="15"/>
  <c r="P190" i="15"/>
  <c r="Q207" i="15"/>
  <c r="P201" i="15"/>
  <c r="Q200" i="15"/>
  <c r="O215" i="15"/>
  <c r="O3" i="15"/>
  <c r="N8" i="15"/>
  <c r="Q7" i="15"/>
  <c r="O19" i="15"/>
  <c r="N29" i="15"/>
  <c r="P23" i="15"/>
  <c r="Q28" i="15"/>
  <c r="P30" i="15"/>
  <c r="O24" i="15"/>
  <c r="P67" i="15"/>
  <c r="O71" i="15"/>
  <c r="Q63" i="15"/>
  <c r="N43" i="15"/>
  <c r="Q48" i="15"/>
  <c r="P56" i="15"/>
  <c r="O62" i="15"/>
  <c r="O118" i="15"/>
  <c r="Q129" i="15"/>
  <c r="N132" i="15"/>
  <c r="P117" i="15"/>
  <c r="O137" i="15"/>
  <c r="N143" i="15"/>
  <c r="N127" i="15"/>
  <c r="Q122" i="15"/>
  <c r="P149" i="15"/>
  <c r="O159" i="15"/>
  <c r="P176" i="15"/>
  <c r="Q169" i="15"/>
  <c r="N171" i="15"/>
  <c r="O170" i="15"/>
  <c r="P179" i="15"/>
  <c r="Q180" i="15"/>
  <c r="N160" i="15"/>
  <c r="Q216" i="15"/>
  <c r="O188" i="15"/>
  <c r="N213" i="15"/>
  <c r="O218" i="15"/>
  <c r="Q203" i="15"/>
  <c r="P199" i="15"/>
  <c r="Q196" i="15"/>
  <c r="O213" i="15"/>
  <c r="P3" i="15"/>
  <c r="N6" i="15"/>
  <c r="Q5" i="15"/>
  <c r="O17" i="15"/>
  <c r="N27" i="15"/>
  <c r="P17" i="15"/>
  <c r="Q26" i="15"/>
  <c r="P28" i="15"/>
  <c r="O12" i="15"/>
  <c r="P65" i="15"/>
  <c r="O69" i="15"/>
  <c r="Q45" i="15"/>
  <c r="N41" i="15"/>
  <c r="Q46" i="15"/>
  <c r="P54" i="15"/>
  <c r="O60" i="15"/>
  <c r="N66" i="15"/>
  <c r="P140" i="15"/>
  <c r="O139" i="15"/>
  <c r="Q127" i="15"/>
  <c r="N125" i="15"/>
  <c r="P174" i="15"/>
  <c r="N165" i="15"/>
  <c r="O168" i="15"/>
  <c r="P173" i="15"/>
  <c r="Q172" i="15"/>
  <c r="N158" i="15"/>
  <c r="Q210" i="15"/>
  <c r="N218" i="15"/>
  <c r="N207" i="15"/>
  <c r="O214" i="15"/>
  <c r="Q199" i="15"/>
  <c r="P197" i="15"/>
  <c r="Q192" i="15"/>
  <c r="O211" i="15"/>
  <c r="Q3" i="15"/>
  <c r="Q35" i="15"/>
  <c r="O32" i="15"/>
  <c r="O15" i="15"/>
  <c r="N25" i="15"/>
  <c r="P9" i="15"/>
  <c r="Q24" i="15"/>
  <c r="P26" i="15"/>
  <c r="N36" i="15"/>
  <c r="P63" i="15"/>
  <c r="O67" i="15"/>
  <c r="N71" i="15"/>
  <c r="Q59" i="15"/>
  <c r="Q44" i="15"/>
  <c r="P52" i="15"/>
  <c r="O58" i="15"/>
  <c r="N64" i="15"/>
  <c r="Q140" i="15"/>
  <c r="N131" i="15"/>
  <c r="O135" i="15"/>
  <c r="Q149" i="15"/>
  <c r="N140" i="15"/>
  <c r="P145" i="15"/>
  <c r="N135" i="15"/>
  <c r="Q118" i="15"/>
  <c r="N175" i="15"/>
  <c r="Q157" i="15"/>
  <c r="O166" i="15"/>
  <c r="N156" i="15"/>
  <c r="N214" i="15"/>
  <c r="O208" i="15"/>
  <c r="P216" i="15"/>
  <c r="O28" i="15"/>
  <c r="O13" i="15"/>
  <c r="N31" i="15"/>
  <c r="Q22" i="15"/>
  <c r="N28" i="15"/>
  <c r="P61" i="15"/>
  <c r="O65" i="15"/>
  <c r="N69" i="15"/>
  <c r="Q47" i="15"/>
  <c r="P50" i="15"/>
  <c r="O56" i="15"/>
  <c r="N62" i="15"/>
  <c r="O113" i="15"/>
  <c r="Q131" i="15"/>
  <c r="P115" i="15"/>
  <c r="Q163" i="15"/>
  <c r="Q125" i="15"/>
  <c r="P144" i="15"/>
  <c r="O133" i="15"/>
  <c r="N121" i="15"/>
  <c r="Q177" i="15"/>
  <c r="P172" i="15"/>
  <c r="N159" i="15"/>
  <c r="P167" i="15"/>
  <c r="Q166" i="15"/>
  <c r="Q202" i="15"/>
  <c r="N201" i="15"/>
  <c r="Q195" i="15"/>
  <c r="P195" i="15"/>
  <c r="O209" i="15"/>
  <c r="Q33" i="15"/>
  <c r="O16" i="15"/>
  <c r="N23" i="15"/>
  <c r="P24" i="15"/>
  <c r="Q42" i="15"/>
  <c r="N136" i="15"/>
  <c r="Q123" i="15"/>
  <c r="P143" i="15"/>
  <c r="P128" i="15"/>
  <c r="O131" i="15"/>
  <c r="N129" i="15"/>
  <c r="N117" i="15"/>
  <c r="Q116" i="15"/>
  <c r="Q171" i="15"/>
  <c r="N169" i="15"/>
  <c r="P170" i="15"/>
  <c r="Q153" i="15"/>
  <c r="N155" i="15"/>
  <c r="O164" i="15"/>
  <c r="P161" i="15"/>
  <c r="Q160" i="15"/>
  <c r="N154" i="15"/>
  <c r="Q194" i="15"/>
  <c r="N208" i="15"/>
  <c r="N195" i="15"/>
  <c r="O202" i="15"/>
  <c r="Q193" i="15"/>
  <c r="P193" i="15"/>
  <c r="P210" i="15"/>
  <c r="O207" i="15"/>
  <c r="O20" i="15"/>
  <c r="Q31" i="15"/>
  <c r="P29" i="15"/>
  <c r="O11" i="15"/>
  <c r="N21" i="15"/>
  <c r="O30" i="15"/>
  <c r="Q20" i="15"/>
  <c r="P22" i="15"/>
  <c r="N22" i="15"/>
  <c r="P59" i="15"/>
  <c r="O63" i="15"/>
  <c r="N67" i="15"/>
  <c r="Q72" i="15"/>
  <c r="Q40" i="15"/>
  <c r="P48" i="15"/>
  <c r="O54" i="15"/>
  <c r="N60" i="15"/>
  <c r="N58" i="15"/>
  <c r="P119" i="15"/>
  <c r="N146" i="15"/>
  <c r="N139" i="15"/>
  <c r="O155" i="15"/>
  <c r="Q121" i="15"/>
  <c r="P118" i="15"/>
  <c r="N123" i="15"/>
  <c r="Q114" i="15"/>
  <c r="N163" i="15"/>
  <c r="P177" i="15"/>
  <c r="O162" i="15"/>
  <c r="P155" i="15"/>
  <c r="N152" i="15"/>
  <c r="N204" i="15"/>
  <c r="O194" i="15"/>
  <c r="P191" i="15"/>
  <c r="O205" i="15"/>
  <c r="Q29" i="15"/>
  <c r="O9" i="15"/>
  <c r="O22" i="15"/>
  <c r="Q18" i="15"/>
  <c r="N14" i="15"/>
  <c r="O61" i="15"/>
  <c r="Q70" i="15"/>
  <c r="O52" i="15"/>
  <c r="N128" i="15"/>
  <c r="Q119" i="15"/>
  <c r="P139" i="15"/>
  <c r="O146" i="15"/>
  <c r="O127" i="15"/>
  <c r="N119" i="15"/>
  <c r="Q144" i="15"/>
  <c r="P136" i="15"/>
  <c r="Q161" i="15"/>
  <c r="N157" i="15"/>
  <c r="P166" i="15"/>
  <c r="P169" i="15"/>
  <c r="Q174" i="15"/>
  <c r="O160" i="15"/>
  <c r="O181" i="15"/>
  <c r="N182" i="15"/>
  <c r="N150" i="15"/>
  <c r="P214" i="15"/>
  <c r="N198" i="15"/>
  <c r="Q214" i="15"/>
  <c r="O190" i="15"/>
  <c r="Q189" i="15"/>
  <c r="P189" i="15"/>
  <c r="P198" i="15"/>
  <c r="O203" i="15"/>
  <c r="N34" i="15"/>
  <c r="Q27" i="15"/>
  <c r="P15" i="15"/>
  <c r="O7" i="15"/>
  <c r="N17" i="15"/>
  <c r="O8" i="15"/>
  <c r="Q16" i="15"/>
  <c r="P18" i="15"/>
  <c r="N4" i="15"/>
  <c r="P55" i="15"/>
  <c r="O59" i="15"/>
  <c r="N63" i="15"/>
  <c r="Q68" i="15"/>
  <c r="Q69" i="15"/>
  <c r="P44" i="15"/>
  <c r="O50" i="15"/>
  <c r="N56" i="15"/>
  <c r="O130" i="15"/>
  <c r="N142" i="15"/>
  <c r="N122" i="15"/>
  <c r="Q120" i="15"/>
  <c r="N130" i="15"/>
  <c r="P141" i="15"/>
  <c r="O129" i="15"/>
  <c r="Q146" i="15"/>
  <c r="Q165" i="15"/>
  <c r="P168" i="15"/>
  <c r="Q178" i="15"/>
  <c r="Q152" i="15"/>
  <c r="Q190" i="15"/>
  <c r="N187" i="15"/>
  <c r="Q191" i="15"/>
  <c r="P204" i="15"/>
  <c r="O6" i="15"/>
  <c r="P21" i="15"/>
  <c r="N19" i="15"/>
  <c r="P20" i="15"/>
  <c r="P57" i="15"/>
  <c r="N65" i="15"/>
  <c r="Q57" i="15"/>
  <c r="P46" i="15"/>
  <c r="N113" i="15"/>
  <c r="N124" i="15"/>
  <c r="Q117" i="15"/>
  <c r="P137" i="15"/>
  <c r="O136" i="15"/>
  <c r="O125" i="15"/>
  <c r="N115" i="15"/>
  <c r="Q142" i="15"/>
  <c r="P114" i="15"/>
  <c r="Q155" i="15"/>
  <c r="N153" i="15"/>
  <c r="P164" i="15"/>
  <c r="P163" i="15"/>
  <c r="Q168" i="15"/>
  <c r="O158" i="15"/>
  <c r="O175" i="15"/>
  <c r="N180" i="15"/>
  <c r="N186" i="15"/>
  <c r="P208" i="15"/>
  <c r="N194" i="15"/>
  <c r="Q208" i="15"/>
  <c r="N212" i="15"/>
  <c r="P219" i="15"/>
  <c r="P187" i="15"/>
  <c r="P192" i="15"/>
  <c r="O201" i="15"/>
  <c r="N32" i="15"/>
  <c r="Q25" i="15"/>
  <c r="P5" i="15"/>
  <c r="O5" i="15"/>
  <c r="N15" i="15"/>
  <c r="P33" i="15"/>
  <c r="Q14" i="15"/>
  <c r="P16" i="15"/>
  <c r="N39" i="15"/>
  <c r="P53" i="15"/>
  <c r="O57" i="15"/>
  <c r="N61" i="15"/>
  <c r="Q66" i="15"/>
  <c r="Q61" i="15"/>
  <c r="P42" i="15"/>
  <c r="O48" i="15"/>
  <c r="N54" i="15"/>
  <c r="O142" i="15"/>
  <c r="Q162" i="15"/>
  <c r="O156" i="15"/>
  <c r="O169" i="15"/>
  <c r="N178" i="15"/>
  <c r="O186" i="15"/>
  <c r="P202" i="15"/>
  <c r="N188" i="15"/>
  <c r="Q204" i="15"/>
  <c r="N206" i="15"/>
  <c r="P217" i="15"/>
  <c r="N215" i="15"/>
  <c r="O212" i="15"/>
  <c r="O199" i="15"/>
  <c r="N30" i="15"/>
  <c r="Q23" i="15"/>
  <c r="O35" i="15"/>
  <c r="O14" i="15"/>
  <c r="N13" i="15"/>
  <c r="P27" i="15"/>
  <c r="Q12" i="15"/>
  <c r="P14" i="15"/>
  <c r="O39" i="15"/>
  <c r="P51" i="15"/>
  <c r="O55" i="15"/>
  <c r="N59" i="15"/>
  <c r="Q64" i="15"/>
  <c r="P72" i="15"/>
  <c r="P40" i="15"/>
  <c r="O46" i="15"/>
  <c r="N52" i="15"/>
  <c r="N50" i="15"/>
  <c r="N48" i="15"/>
  <c r="Q115" i="15"/>
  <c r="P181" i="15"/>
  <c r="O114" i="15"/>
  <c r="O134" i="15"/>
  <c r="P151" i="15"/>
  <c r="P186" i="15"/>
  <c r="P215" i="15"/>
  <c r="Q21" i="15"/>
  <c r="Q10" i="15"/>
  <c r="O53" i="15"/>
  <c r="N57" i="15"/>
  <c r="P131" i="15"/>
  <c r="P171" i="15"/>
  <c r="Q186" i="15"/>
  <c r="O192" i="15"/>
  <c r="P13" i="15"/>
  <c r="O42" i="15"/>
  <c r="Q141" i="15"/>
  <c r="P120" i="15"/>
  <c r="P129" i="15"/>
  <c r="N134" i="15"/>
  <c r="O117" i="15"/>
  <c r="O122" i="15"/>
  <c r="Q134" i="15"/>
  <c r="N138" i="15"/>
  <c r="P165" i="15"/>
  <c r="Q164" i="15"/>
  <c r="P156" i="15"/>
  <c r="O173" i="15"/>
  <c r="O182" i="15"/>
  <c r="O150" i="15"/>
  <c r="O153" i="15"/>
  <c r="N172" i="15"/>
  <c r="N217" i="15"/>
  <c r="O216" i="15"/>
  <c r="Q209" i="15"/>
  <c r="P218" i="15"/>
  <c r="N192" i="15"/>
  <c r="P211" i="15"/>
  <c r="N197" i="15"/>
  <c r="N216" i="15"/>
  <c r="O193" i="15"/>
  <c r="N20" i="15"/>
  <c r="Q17" i="15"/>
  <c r="O29" i="15"/>
  <c r="P35" i="15"/>
  <c r="N7" i="15"/>
  <c r="P7" i="15"/>
  <c r="Q6" i="15"/>
  <c r="P8" i="15"/>
  <c r="Q41" i="15"/>
  <c r="P45" i="15"/>
  <c r="O49" i="15"/>
  <c r="N53" i="15"/>
  <c r="Q58" i="15"/>
  <c r="P66" i="15"/>
  <c r="O72" i="15"/>
  <c r="O40" i="15"/>
  <c r="N46" i="15"/>
  <c r="O123" i="15"/>
  <c r="Q182" i="15"/>
  <c r="P142" i="15"/>
  <c r="P130" i="15"/>
  <c r="Q176" i="15"/>
  <c r="O154" i="15"/>
  <c r="P196" i="15"/>
  <c r="N202" i="15"/>
  <c r="N26" i="15"/>
  <c r="P19" i="15"/>
  <c r="O44" i="15"/>
  <c r="Q143" i="15"/>
  <c r="P122" i="15"/>
  <c r="P158" i="15"/>
  <c r="O157" i="15"/>
  <c r="Q188" i="15"/>
  <c r="O195" i="15"/>
  <c r="O18" i="15"/>
  <c r="Q39" i="15"/>
  <c r="P68" i="15"/>
  <c r="P132" i="15"/>
  <c r="Q139" i="15"/>
  <c r="O144" i="15"/>
  <c r="P127" i="15"/>
  <c r="N120" i="15"/>
  <c r="O115" i="15"/>
  <c r="N145" i="15"/>
  <c r="Q132" i="15"/>
  <c r="N126" i="15"/>
  <c r="P159" i="15"/>
  <c r="Q156" i="15"/>
  <c r="P154" i="15"/>
  <c r="O167" i="15"/>
  <c r="O180" i="15"/>
  <c r="Q179" i="15"/>
  <c r="N179" i="15"/>
  <c r="N170" i="15"/>
  <c r="N211" i="15"/>
  <c r="O210" i="15"/>
  <c r="Q205" i="15"/>
  <c r="P212" i="15"/>
  <c r="N190" i="15"/>
  <c r="P209" i="15"/>
  <c r="N191" i="15"/>
  <c r="N210" i="15"/>
  <c r="O191" i="15"/>
  <c r="N18" i="15"/>
  <c r="Q15" i="15"/>
  <c r="O27" i="15"/>
  <c r="P25" i="15"/>
  <c r="N5" i="15"/>
  <c r="Q36" i="15"/>
  <c r="Q4" i="15"/>
  <c r="P6" i="15"/>
  <c r="Q67" i="15"/>
  <c r="P43" i="15"/>
  <c r="O47" i="15"/>
  <c r="N51" i="15"/>
  <c r="Q56" i="15"/>
  <c r="P64" i="15"/>
  <c r="O70" i="15"/>
  <c r="Q53" i="15"/>
  <c r="N44" i="15"/>
  <c r="P135" i="15"/>
  <c r="P162" i="15"/>
  <c r="Q145" i="15"/>
  <c r="O121" i="15"/>
  <c r="P175" i="15"/>
  <c r="Q158" i="15"/>
  <c r="N176" i="15"/>
  <c r="Q198" i="15"/>
  <c r="O197" i="15"/>
  <c r="N11" i="15"/>
  <c r="P70" i="15"/>
  <c r="Q113" i="15"/>
  <c r="O119" i="15"/>
  <c r="Q170" i="15"/>
  <c r="O152" i="15"/>
  <c r="Q213" i="15"/>
  <c r="N203" i="15"/>
  <c r="Q19" i="15"/>
  <c r="Q8" i="15"/>
  <c r="Q55" i="15"/>
  <c r="P124" i="15"/>
  <c r="Q137" i="15"/>
  <c r="O138" i="15"/>
  <c r="P125" i="15"/>
  <c r="O145" i="15"/>
  <c r="P146" i="15"/>
  <c r="N141" i="15"/>
  <c r="Q130" i="15"/>
  <c r="N118" i="15"/>
  <c r="P153" i="15"/>
  <c r="Q150" i="15"/>
  <c r="P152" i="15"/>
  <c r="O161" i="15"/>
  <c r="O178" i="15"/>
  <c r="Q173" i="15"/>
  <c r="N173" i="15"/>
  <c r="N168" i="15"/>
  <c r="N205" i="15"/>
  <c r="O206" i="15"/>
  <c r="Q201" i="15"/>
  <c r="P206" i="15"/>
  <c r="Q219" i="15"/>
  <c r="P207" i="15"/>
  <c r="Q218" i="15"/>
  <c r="N200" i="15"/>
  <c r="O189" i="15"/>
  <c r="N16" i="15"/>
  <c r="Q13" i="15"/>
  <c r="O25" i="15"/>
  <c r="P11" i="15"/>
  <c r="O26" i="15"/>
  <c r="Q34" i="15"/>
  <c r="P36" i="15"/>
  <c r="P4" i="15"/>
  <c r="Q43" i="15"/>
  <c r="P41" i="15"/>
  <c r="O45" i="15"/>
  <c r="N49" i="15"/>
  <c r="Q54" i="15"/>
  <c r="P62" i="15"/>
  <c r="O68" i="15"/>
  <c r="Q49" i="15"/>
  <c r="N42" i="15"/>
  <c r="O204" i="15"/>
  <c r="O36" i="15"/>
  <c r="P12" i="15"/>
  <c r="P49" i="15"/>
  <c r="Q62" i="15"/>
  <c r="P126" i="15"/>
  <c r="Q136" i="15"/>
  <c r="Q154" i="15"/>
  <c r="P188" i="15"/>
  <c r="P213" i="15"/>
  <c r="N24" i="15"/>
  <c r="N9" i="15"/>
  <c r="P47" i="15"/>
  <c r="Q60" i="15"/>
  <c r="O140" i="15"/>
  <c r="Q135" i="15"/>
  <c r="O128" i="15"/>
  <c r="P123" i="15"/>
  <c r="O143" i="15"/>
  <c r="P134" i="15"/>
  <c r="N137" i="15"/>
  <c r="Q128" i="15"/>
  <c r="N114" i="15"/>
  <c r="O177" i="15"/>
  <c r="P182" i="15"/>
  <c r="P150" i="15"/>
  <c r="O151" i="15"/>
  <c r="O176" i="15"/>
  <c r="Q167" i="15"/>
  <c r="N167" i="15"/>
  <c r="N166" i="15"/>
  <c r="N199" i="15"/>
  <c r="O200" i="15"/>
  <c r="Q197" i="15"/>
  <c r="P200" i="15"/>
  <c r="Q215" i="15"/>
  <c r="P205" i="15"/>
  <c r="Q212" i="15"/>
  <c r="O219" i="15"/>
  <c r="O187" i="15"/>
  <c r="N12" i="15"/>
  <c r="Q11" i="15"/>
  <c r="O23" i="15"/>
  <c r="N35" i="15"/>
  <c r="O10" i="15"/>
  <c r="Q32" i="15"/>
  <c r="P34" i="15"/>
  <c r="O4" i="15"/>
  <c r="P71" i="15"/>
  <c r="Q71" i="15"/>
  <c r="O43" i="15"/>
  <c r="N47" i="15"/>
  <c r="Q52" i="15"/>
  <c r="P60" i="15"/>
  <c r="O66" i="15"/>
  <c r="N72" i="15"/>
  <c r="N40" i="15"/>
  <c r="Q99" i="15"/>
  <c r="P99" i="15"/>
  <c r="N103" i="15"/>
  <c r="N97" i="15"/>
  <c r="N93" i="15"/>
  <c r="N89" i="15"/>
  <c r="N85" i="15"/>
  <c r="N81" i="15"/>
  <c r="N77" i="15"/>
  <c r="Q106" i="15"/>
  <c r="Q100" i="15"/>
  <c r="Q96" i="15"/>
  <c r="Q92" i="15"/>
  <c r="Q88" i="15"/>
  <c r="Q86" i="15"/>
  <c r="Q78" i="15"/>
  <c r="Q105" i="15"/>
  <c r="Q91" i="15"/>
  <c r="P107" i="15"/>
  <c r="P97" i="15"/>
  <c r="N105" i="15"/>
  <c r="N99" i="15"/>
  <c r="N95" i="15"/>
  <c r="N91" i="15"/>
  <c r="N87" i="15"/>
  <c r="N83" i="15"/>
  <c r="N79" i="15"/>
  <c r="Q108" i="15"/>
  <c r="Q104" i="15"/>
  <c r="Q102" i="15"/>
  <c r="Q98" i="15"/>
  <c r="Q94" i="15"/>
  <c r="Q90" i="15"/>
  <c r="Q84" i="15"/>
  <c r="Q80" i="15"/>
  <c r="Q95" i="15"/>
  <c r="P103" i="15"/>
  <c r="N107" i="15"/>
  <c r="P104" i="15"/>
  <c r="P98" i="15"/>
  <c r="P92" i="15"/>
  <c r="P88" i="15"/>
  <c r="O108" i="15"/>
  <c r="O104" i="15"/>
  <c r="O100" i="15"/>
  <c r="O98" i="15"/>
  <c r="O94" i="15"/>
  <c r="O92" i="15"/>
  <c r="O88" i="15"/>
  <c r="O86" i="15"/>
  <c r="O84" i="15"/>
  <c r="O80" i="15"/>
  <c r="O78" i="15"/>
  <c r="Q107" i="15"/>
  <c r="Q93" i="15"/>
  <c r="P109" i="15"/>
  <c r="P95" i="15"/>
  <c r="N101" i="15"/>
  <c r="P106" i="15"/>
  <c r="P100" i="15"/>
  <c r="P94" i="15"/>
  <c r="P86" i="15"/>
  <c r="P80" i="15"/>
  <c r="O106" i="15"/>
  <c r="O102" i="15"/>
  <c r="O96" i="15"/>
  <c r="O90" i="15"/>
  <c r="Q101" i="15"/>
  <c r="P105" i="15"/>
  <c r="N109" i="15"/>
  <c r="P108" i="15"/>
  <c r="P102" i="15"/>
  <c r="P96" i="15"/>
  <c r="P90" i="15"/>
  <c r="P84" i="15"/>
  <c r="P78" i="15"/>
  <c r="N108" i="15"/>
  <c r="N106" i="15"/>
  <c r="N104" i="15"/>
  <c r="N102" i="15"/>
  <c r="N100" i="15"/>
  <c r="N98" i="15"/>
  <c r="N96" i="15"/>
  <c r="N94" i="15"/>
  <c r="N92" i="15"/>
  <c r="N90" i="15"/>
  <c r="N88" i="15"/>
  <c r="N86" i="15"/>
  <c r="N84" i="15"/>
  <c r="N80" i="15"/>
  <c r="N78" i="15"/>
  <c r="Q103" i="15"/>
  <c r="Q89" i="15"/>
  <c r="Q87" i="15"/>
  <c r="Q85" i="15"/>
  <c r="Q83" i="15"/>
  <c r="Q81" i="15"/>
  <c r="Q79" i="15"/>
  <c r="Q77" i="15"/>
  <c r="Q109" i="15"/>
  <c r="Q97" i="15"/>
  <c r="P101" i="15"/>
  <c r="P93" i="15"/>
  <c r="P91" i="15"/>
  <c r="P89" i="15"/>
  <c r="P87" i="15"/>
  <c r="P85" i="15"/>
  <c r="P83" i="15"/>
  <c r="P81" i="15"/>
  <c r="P79" i="15"/>
  <c r="P77" i="15"/>
  <c r="O109" i="15"/>
  <c r="O107" i="15"/>
  <c r="O105" i="15"/>
  <c r="O103" i="15"/>
  <c r="O101" i="15"/>
  <c r="O99" i="15"/>
  <c r="O97" i="15"/>
  <c r="O95" i="15"/>
  <c r="O93" i="15"/>
  <c r="O91" i="15"/>
  <c r="O89" i="15"/>
  <c r="O87" i="15"/>
  <c r="O85" i="15"/>
  <c r="O83" i="15"/>
  <c r="O81" i="15"/>
  <c r="O79" i="15"/>
  <c r="O77" i="15"/>
  <c r="Q76" i="15"/>
  <c r="P76" i="15"/>
  <c r="O76" i="15"/>
  <c r="N76" i="15"/>
  <c r="N82" i="15"/>
  <c r="O82" i="15"/>
  <c r="P82" i="15"/>
  <c r="Q82" i="15"/>
</calcChain>
</file>

<file path=xl/comments1.xml><?xml version="1.0" encoding="utf-8"?>
<comments xmlns="http://schemas.openxmlformats.org/spreadsheetml/2006/main">
  <authors>
    <author>Tiraoro Luisa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>Tiraoro Luisa:</t>
        </r>
        <r>
          <rPr>
            <sz val="9"/>
            <color indexed="81"/>
            <rFont val="Tahoma"/>
            <family val="2"/>
          </rPr>
          <t xml:space="preserve">
rettitficato per rinunica CK</t>
        </r>
      </text>
    </comment>
  </commentList>
</comments>
</file>

<file path=xl/comments2.xml><?xml version="1.0" encoding="utf-8"?>
<comments xmlns="http://schemas.openxmlformats.org/spreadsheetml/2006/main">
  <authors>
    <author>Tiraoro Luisa</author>
  </authors>
  <commentList>
    <comment ref="G20" authorId="0">
      <text>
        <r>
          <rPr>
            <b/>
            <sz val="9"/>
            <color indexed="81"/>
            <rFont val="Tahoma"/>
            <family val="2"/>
          </rPr>
          <t>Tiraoro Luisa:</t>
        </r>
        <r>
          <rPr>
            <sz val="9"/>
            <color indexed="81"/>
            <rFont val="Tahoma"/>
            <family val="2"/>
          </rPr>
          <t xml:space="preserve">
rettificzto conguaglio per rcnd</t>
        </r>
      </text>
    </comment>
    <comment ref="M20" authorId="0">
      <text>
        <r>
          <rPr>
            <b/>
            <sz val="9"/>
            <color indexed="81"/>
            <rFont val="Tahoma"/>
            <family val="2"/>
          </rPr>
          <t>Tiraoro Luisa:</t>
        </r>
        <r>
          <rPr>
            <sz val="9"/>
            <color indexed="81"/>
            <rFont val="Tahoma"/>
            <family val="2"/>
          </rPr>
          <t xml:space="preserve">
corretto conguaglio</t>
        </r>
      </text>
    </comment>
  </commentList>
</comments>
</file>

<file path=xl/sharedStrings.xml><?xml version="1.0" encoding="utf-8"?>
<sst xmlns="http://schemas.openxmlformats.org/spreadsheetml/2006/main" count="3621" uniqueCount="158">
  <si>
    <t>Costi del/i gestore/i diverso/i dal Comune</t>
  </si>
  <si>
    <t>Costi 
del/i Comune/i</t>
  </si>
  <si>
    <t>Ciclo integrato
 RU (TOT PEF)</t>
  </si>
  <si>
    <r>
      <t xml:space="preserve">Costi dell’attività di raccolta e trasporto dei rifiuti urbani indifferenziati   </t>
    </r>
    <r>
      <rPr>
        <b/>
        <i/>
        <sz val="11"/>
        <color theme="1"/>
        <rFont val="Century Gothic"/>
        <family val="2"/>
      </rPr>
      <t>CRT</t>
    </r>
  </si>
  <si>
    <r>
      <t xml:space="preserve">Costi dell’attività di trattamento e smaltimento dei rifiuti urbani   </t>
    </r>
    <r>
      <rPr>
        <b/>
        <i/>
        <sz val="11"/>
        <color theme="1"/>
        <rFont val="Century Gothic"/>
        <family val="2"/>
      </rPr>
      <t>CTS</t>
    </r>
  </si>
  <si>
    <r>
      <t xml:space="preserve">Costi dell’attività di trattamento e recupero dei rifiuti urbani   </t>
    </r>
    <r>
      <rPr>
        <b/>
        <i/>
        <sz val="11"/>
        <color theme="1"/>
        <rFont val="Century Gothic"/>
        <family val="2"/>
      </rPr>
      <t>CTR</t>
    </r>
  </si>
  <si>
    <r>
      <t xml:space="preserve">Costi dell’attività di raccolta e trasporto delle frazioni differenziate   </t>
    </r>
    <r>
      <rPr>
        <b/>
        <i/>
        <sz val="11"/>
        <color theme="1"/>
        <rFont val="Century Gothic"/>
        <family val="2"/>
      </rPr>
      <t>CRD</t>
    </r>
  </si>
  <si>
    <r>
      <t xml:space="preserve">Costi operativi variabili previsionali di cui all'articolo 9.1 del MTR-2   </t>
    </r>
    <r>
      <rPr>
        <b/>
        <i/>
        <sz val="11"/>
        <rFont val="Century Gothic"/>
        <family val="2"/>
      </rPr>
      <t>CO</t>
    </r>
    <r>
      <rPr>
        <b/>
        <i/>
        <vertAlign val="superscript"/>
        <sz val="11"/>
        <rFont val="Century Gothic"/>
        <family val="2"/>
      </rPr>
      <t>EXP</t>
    </r>
    <r>
      <rPr>
        <b/>
        <i/>
        <vertAlign val="subscript"/>
        <sz val="11"/>
        <rFont val="Century Gothic"/>
        <family val="2"/>
      </rPr>
      <t>116,TV</t>
    </r>
  </si>
  <si>
    <r>
      <t xml:space="preserve">Costi operativi variabili previsionali di cui all'articolo 9.2 del MTR-2   </t>
    </r>
    <r>
      <rPr>
        <b/>
        <i/>
        <sz val="11"/>
        <color theme="1"/>
        <rFont val="Century Gothic"/>
        <family val="2"/>
      </rPr>
      <t>CQ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TV</t>
    </r>
  </si>
  <si>
    <r>
      <t xml:space="preserve">Costi operativi incentivanti variabili di cui all'articolo 9.3 del MTR-2   </t>
    </r>
    <r>
      <rPr>
        <b/>
        <i/>
        <sz val="11"/>
        <color theme="1"/>
        <rFont val="Century Gothic"/>
        <family val="2"/>
      </rPr>
      <t>COI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TV</t>
    </r>
  </si>
  <si>
    <r>
      <t xml:space="preserve">Proventi della vendita di materiale ed energia derivante da rifiuti   </t>
    </r>
    <r>
      <rPr>
        <b/>
        <i/>
        <sz val="11"/>
        <color theme="1"/>
        <rFont val="Century Gothic"/>
        <family val="2"/>
      </rPr>
      <t>AR</t>
    </r>
  </si>
  <si>
    <r>
      <t xml:space="preserve">Fattore di Sharing   </t>
    </r>
    <r>
      <rPr>
        <b/>
        <i/>
        <sz val="11"/>
        <color theme="1"/>
        <rFont val="Century Gothic"/>
        <family val="2"/>
      </rPr>
      <t>b</t>
    </r>
  </si>
  <si>
    <r>
      <t xml:space="preserve">Proventi della vendita di materiale ed energia derivante da rifiuti dopo sharing   </t>
    </r>
    <r>
      <rPr>
        <b/>
        <i/>
        <sz val="11"/>
        <color theme="1"/>
        <rFont val="Century Gothic"/>
        <family val="2"/>
      </rPr>
      <t>b(AR)</t>
    </r>
  </si>
  <si>
    <r>
      <t xml:space="preserve">Ricavi derivanti dai corrispettivi riconosciuti dai sistemi collettivi di compliance   </t>
    </r>
    <r>
      <rPr>
        <b/>
        <i/>
        <sz val="11"/>
        <color theme="1"/>
        <rFont val="Century Gothic"/>
        <family val="2"/>
      </rPr>
      <t>AR</t>
    </r>
    <r>
      <rPr>
        <b/>
        <i/>
        <vertAlign val="subscript"/>
        <sz val="11"/>
        <color theme="1"/>
        <rFont val="Century Gothic"/>
        <family val="2"/>
      </rPr>
      <t>sc</t>
    </r>
  </si>
  <si>
    <r>
      <t xml:space="preserve">Fattore di Sharing    </t>
    </r>
    <r>
      <rPr>
        <b/>
        <i/>
        <sz val="11"/>
        <color theme="1"/>
        <rFont val="Century Gothic"/>
        <family val="2"/>
      </rPr>
      <t>ω</t>
    </r>
  </si>
  <si>
    <r>
      <t xml:space="preserve">Fattore di Sharing    </t>
    </r>
    <r>
      <rPr>
        <b/>
        <i/>
        <sz val="11"/>
        <color theme="1"/>
        <rFont val="Century Gothic"/>
        <family val="2"/>
      </rPr>
      <t>b(1+ω)</t>
    </r>
  </si>
  <si>
    <r>
      <t xml:space="preserve">Ricavi derivanti dai corrispettivi riconosciuti dal dai sistemi collettivi di compliance dopo sharing   </t>
    </r>
    <r>
      <rPr>
        <b/>
        <i/>
        <sz val="11"/>
        <color theme="1"/>
        <rFont val="Century Gothic"/>
        <family val="2"/>
      </rPr>
      <t>b(1+ω)AR</t>
    </r>
    <r>
      <rPr>
        <b/>
        <i/>
        <vertAlign val="subscript"/>
        <sz val="11"/>
        <color theme="1"/>
        <rFont val="Century Gothic"/>
        <family val="2"/>
      </rPr>
      <t>sc</t>
    </r>
  </si>
  <si>
    <r>
      <t>Componente a conguaglio relativa ai costi variabili</t>
    </r>
    <r>
      <rPr>
        <b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RCtot</t>
    </r>
    <r>
      <rPr>
        <b/>
        <i/>
        <vertAlign val="subscript"/>
        <sz val="11"/>
        <color theme="1"/>
        <rFont val="Century Gothic"/>
        <family val="2"/>
      </rPr>
      <t>TV</t>
    </r>
  </si>
  <si>
    <t>Oneri relativi all'IVA indetraibile - PARTE VARIABILE</t>
  </si>
  <si>
    <t>Recupero delta (∑Ta-∑Tmax) di cui al comma 4.5 del MTR-2 - PARTE VARIABILE</t>
  </si>
  <si>
    <t>∑TVa totale delle entrate tariffarie relative alle componenti di costo variabile dopo le detrazioni di cui al. Art. 4.6 Del. 363/2021/R/Rif</t>
  </si>
  <si>
    <r>
      <t xml:space="preserve">Costi dell’attività di spazzamento e di lavaggio   </t>
    </r>
    <r>
      <rPr>
        <b/>
        <i/>
        <sz val="11"/>
        <color theme="1"/>
        <rFont val="Century Gothic"/>
        <family val="2"/>
      </rPr>
      <t>CSL</t>
    </r>
  </si>
  <si>
    <r>
      <t xml:space="preserve">                    Costi per l’attività di gestione delle tariffe e dei rapporti con gli utenti   </t>
    </r>
    <r>
      <rPr>
        <b/>
        <i/>
        <sz val="11"/>
        <color theme="1"/>
        <rFont val="Century Gothic"/>
        <family val="2"/>
      </rPr>
      <t>CARC</t>
    </r>
  </si>
  <si>
    <r>
      <t xml:space="preserve">                    Costi generali di gestione   </t>
    </r>
    <r>
      <rPr>
        <b/>
        <i/>
        <sz val="11"/>
        <color theme="1"/>
        <rFont val="Century Gothic"/>
        <family val="2"/>
      </rPr>
      <t>CGG</t>
    </r>
  </si>
  <si>
    <r>
      <t xml:space="preserve">                    Costi relativi alla quota di crediti inesigibili    </t>
    </r>
    <r>
      <rPr>
        <b/>
        <i/>
        <sz val="11"/>
        <color theme="1"/>
        <rFont val="Century Gothic"/>
        <family val="2"/>
      </rPr>
      <t>CCD</t>
    </r>
  </si>
  <si>
    <r>
      <t xml:space="preserve">                    Altri costi   </t>
    </r>
    <r>
      <rPr>
        <b/>
        <i/>
        <sz val="11"/>
        <color theme="1"/>
        <rFont val="Century Gothic"/>
        <family val="2"/>
      </rPr>
      <t>CO</t>
    </r>
    <r>
      <rPr>
        <b/>
        <i/>
        <vertAlign val="subscript"/>
        <sz val="11"/>
        <color theme="1"/>
        <rFont val="Century Gothic"/>
        <family val="2"/>
      </rPr>
      <t>AL</t>
    </r>
  </si>
  <si>
    <r>
      <t xml:space="preserve">Costi comuni   </t>
    </r>
    <r>
      <rPr>
        <b/>
        <i/>
        <sz val="11"/>
        <color theme="1"/>
        <rFont val="Century Gothic"/>
        <family val="2"/>
      </rPr>
      <t>CC</t>
    </r>
  </si>
  <si>
    <r>
      <t xml:space="preserve">                  Ammortamenti   </t>
    </r>
    <r>
      <rPr>
        <b/>
        <i/>
        <sz val="11"/>
        <color theme="1"/>
        <rFont val="Century Gothic"/>
        <family val="2"/>
      </rPr>
      <t>Amm</t>
    </r>
  </si>
  <si>
    <r>
      <t xml:space="preserve">                  Accantonamenti   </t>
    </r>
    <r>
      <rPr>
        <b/>
        <i/>
        <sz val="11"/>
        <color theme="1"/>
        <rFont val="Century Gothic"/>
        <family val="2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</si>
  <si>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</si>
  <si>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</si>
  <si>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</si>
  <si>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</si>
  <si>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Remunerazione del capitale investito netto  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R</t>
    </r>
  </si>
  <si>
    <r>
      <t xml:space="preserve">               Remunerazione delle immobilizzazioni in corso   </t>
    </r>
    <r>
      <rPr>
        <b/>
        <i/>
        <sz val="11"/>
        <color theme="1"/>
        <rFont val="Century Gothic"/>
        <family val="2"/>
      </rPr>
      <t>R</t>
    </r>
    <r>
      <rPr>
        <b/>
        <i/>
        <vertAlign val="subscript"/>
        <sz val="11"/>
        <color theme="1"/>
        <rFont val="Century Gothic"/>
        <family val="2"/>
      </rPr>
      <t>LIC</t>
    </r>
  </si>
  <si>
    <r>
      <t xml:space="preserve">               Costi d'uso del capitale di cui all'art. 13.11 del MTR-2   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CK</t>
    </r>
    <r>
      <rPr>
        <b/>
        <i/>
        <vertAlign val="subscript"/>
        <sz val="11"/>
        <color theme="1"/>
        <rFont val="Century Gothic"/>
        <family val="2"/>
      </rPr>
      <t>proprietari</t>
    </r>
  </si>
  <si>
    <r>
      <t xml:space="preserve">Costi d'uso del capitale </t>
    </r>
    <r>
      <rPr>
        <b/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CK</t>
    </r>
    <r>
      <rPr>
        <b/>
        <sz val="11"/>
        <color theme="1"/>
        <rFont val="Century Gothic"/>
        <family val="2"/>
      </rPr>
      <t xml:space="preserve"> </t>
    </r>
  </si>
  <si>
    <r>
      <t xml:space="preserve">Costi operativi fissi previsionali di cui all'articolo 9.1 del MTR-2   </t>
    </r>
    <r>
      <rPr>
        <b/>
        <i/>
        <sz val="11"/>
        <rFont val="Century Gothic"/>
        <family val="2"/>
      </rPr>
      <t>CO</t>
    </r>
    <r>
      <rPr>
        <b/>
        <i/>
        <vertAlign val="superscript"/>
        <sz val="11"/>
        <rFont val="Century Gothic"/>
        <family val="2"/>
      </rPr>
      <t>EXP</t>
    </r>
    <r>
      <rPr>
        <b/>
        <i/>
        <vertAlign val="subscript"/>
        <sz val="11"/>
        <rFont val="Century Gothic"/>
        <family val="2"/>
      </rPr>
      <t>116,TF</t>
    </r>
  </si>
  <si>
    <r>
      <t xml:space="preserve">Costi operativi fissi previsionali di cui all'articolo 9.2 del MTR-2   </t>
    </r>
    <r>
      <rPr>
        <b/>
        <i/>
        <sz val="11"/>
        <color theme="1"/>
        <rFont val="Century Gothic"/>
        <family val="2"/>
      </rPr>
      <t>CQ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TF</t>
    </r>
  </si>
  <si>
    <r>
      <t xml:space="preserve">Costi operativi incentivanti fissi di cui all'articolo 8 del MTR   </t>
    </r>
    <r>
      <rPr>
        <b/>
        <i/>
        <sz val="11"/>
        <color theme="1"/>
        <rFont val="Century Gothic"/>
        <family val="2"/>
      </rPr>
      <t>COI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TF</t>
    </r>
  </si>
  <si>
    <r>
      <t xml:space="preserve">Componente a conguaglio relativa ai costi fissi   </t>
    </r>
    <r>
      <rPr>
        <b/>
        <i/>
        <sz val="11"/>
        <color theme="1"/>
        <rFont val="Century Gothic"/>
        <family val="2"/>
      </rPr>
      <t>RC</t>
    </r>
    <r>
      <rPr>
        <b/>
        <i/>
        <vertAlign val="subscript"/>
        <sz val="11"/>
        <color theme="1"/>
        <rFont val="Century Gothic"/>
        <family val="2"/>
      </rPr>
      <t>TF</t>
    </r>
  </si>
  <si>
    <t>Oneri relativi all'IVA indetraibile - PARTE FISSA</t>
  </si>
  <si>
    <t>Recupero delta (∑Ta-∑Tmax) di cui al comma 4.5 del MTR-2 - PARTE FISSA</t>
  </si>
  <si>
    <t>∑TFa totale delle entrate tariffarie relative alle componenti di costo fisse dopo le detrazioni di cui al. Art. 4.6 Del. 363/2021/R/Rif</t>
  </si>
  <si>
    <t>∑Ta= ∑TVa + ∑TFa    prima delle detrazioni di cui al. Art. 4.6 Del. 363/2021/R/Rif</t>
  </si>
  <si>
    <t>∑Ta= ∑TVa + ∑TFa    dopo le detrazioni di cui al. Art. 4.6 Del. 363/2021/R/Rif</t>
  </si>
  <si>
    <t xml:space="preserve">Grandezze fisico-tecniche </t>
  </si>
  <si>
    <r>
      <t xml:space="preserve">raccolta differenziata   </t>
    </r>
    <r>
      <rPr>
        <i/>
        <sz val="11"/>
        <color theme="1"/>
        <rFont val="Century Gothic"/>
        <family val="2"/>
      </rPr>
      <t>%</t>
    </r>
  </si>
  <si>
    <r>
      <t>q</t>
    </r>
    <r>
      <rPr>
        <i/>
        <vertAlign val="subscript"/>
        <sz val="11"/>
        <color theme="1"/>
        <rFont val="Century Gothic"/>
        <family val="2"/>
      </rPr>
      <t>a-2</t>
    </r>
    <r>
      <rPr>
        <i/>
        <sz val="11"/>
        <color theme="1"/>
        <rFont val="Century Gothic"/>
        <family val="2"/>
      </rPr>
      <t xml:space="preserve">  </t>
    </r>
    <r>
      <rPr>
        <i/>
        <sz val="11"/>
        <rFont val="Century Gothic"/>
        <family val="2"/>
      </rPr>
      <t xml:space="preserve"> t</t>
    </r>
    <r>
      <rPr>
        <i/>
        <sz val="11"/>
        <color theme="1"/>
        <rFont val="Century Gothic"/>
        <family val="2"/>
      </rPr>
      <t>on</t>
    </r>
  </si>
  <si>
    <r>
      <t xml:space="preserve">costo unitario effettivo - Cueff   </t>
    </r>
    <r>
      <rPr>
        <i/>
        <sz val="11"/>
        <color theme="1"/>
        <rFont val="Century Gothic"/>
        <family val="2"/>
      </rPr>
      <t>€cent/kg</t>
    </r>
  </si>
  <si>
    <t>Benchmark di riferimento [cent€/kg] (fabbisogno standard/costo medio settore)</t>
  </si>
  <si>
    <t>Coefficiente di gradualità</t>
  </si>
  <si>
    <r>
      <t xml:space="preserve">valutazione rispetto agli obiettivi di raccolta differenziata   </t>
    </r>
    <r>
      <rPr>
        <b/>
        <i/>
        <sz val="11"/>
        <color theme="1"/>
        <rFont val="Century Gothic"/>
        <family val="2"/>
      </rPr>
      <t>ɣ</t>
    </r>
    <r>
      <rPr>
        <b/>
        <i/>
        <vertAlign val="subscript"/>
        <sz val="11"/>
        <color theme="1"/>
        <rFont val="Century Gothic"/>
        <family val="2"/>
      </rPr>
      <t>1</t>
    </r>
    <r>
      <rPr>
        <sz val="11"/>
        <color theme="1"/>
        <rFont val="Century Gothic"/>
        <family val="2"/>
      </rPr>
      <t xml:space="preserve"> </t>
    </r>
  </si>
  <si>
    <r>
      <t xml:space="preserve">valutazione rispetto all' efficacia dell' attività di preparazione per il riutilizzo e riciclo   </t>
    </r>
    <r>
      <rPr>
        <b/>
        <i/>
        <sz val="11"/>
        <color theme="1"/>
        <rFont val="Century Gothic"/>
        <family val="2"/>
      </rPr>
      <t>ɣ</t>
    </r>
    <r>
      <rPr>
        <b/>
        <i/>
        <vertAlign val="sub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 xml:space="preserve"> </t>
    </r>
  </si>
  <si>
    <t>Totale    ɣ</t>
  </si>
  <si>
    <r>
      <t xml:space="preserve">Coefficiente di gradualità   </t>
    </r>
    <r>
      <rPr>
        <b/>
        <i/>
        <sz val="11"/>
        <color theme="0"/>
        <rFont val="Century Gothic"/>
        <family val="2"/>
      </rPr>
      <t>(1+ ɣ)</t>
    </r>
  </si>
  <si>
    <t>Verifica del limite di crescita</t>
  </si>
  <si>
    <r>
      <t>rpi</t>
    </r>
    <r>
      <rPr>
        <i/>
        <vertAlign val="subscript"/>
        <sz val="11"/>
        <color theme="1"/>
        <rFont val="Century Gothic"/>
        <family val="2"/>
      </rPr>
      <t>a</t>
    </r>
  </si>
  <si>
    <r>
      <t xml:space="preserve">coefficiente di recupero di produttività   </t>
    </r>
    <r>
      <rPr>
        <b/>
        <i/>
        <sz val="11"/>
        <color theme="1"/>
        <rFont val="Century Gothic"/>
        <family val="2"/>
      </rPr>
      <t>X</t>
    </r>
    <r>
      <rPr>
        <i/>
        <vertAlign val="subscript"/>
        <sz val="11"/>
        <color theme="1"/>
        <rFont val="Century Gothic"/>
        <family val="2"/>
      </rPr>
      <t>a</t>
    </r>
    <r>
      <rPr>
        <sz val="11"/>
        <color theme="1"/>
        <rFont val="Century Gothic"/>
        <family val="2"/>
      </rPr>
      <t xml:space="preserve"> </t>
    </r>
  </si>
  <si>
    <r>
      <t xml:space="preserve">coeff. per il miglioramento previsto della qualità </t>
    </r>
    <r>
      <rPr>
        <b/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QL</t>
    </r>
    <r>
      <rPr>
        <b/>
        <i/>
        <vertAlign val="subscript"/>
        <sz val="11"/>
        <color theme="1"/>
        <rFont val="Century Gothic"/>
        <family val="2"/>
      </rPr>
      <t>a</t>
    </r>
    <r>
      <rPr>
        <b/>
        <sz val="11"/>
        <color theme="1"/>
        <rFont val="Century Gothic"/>
        <family val="2"/>
      </rPr>
      <t xml:space="preserve"> </t>
    </r>
  </si>
  <si>
    <r>
      <t xml:space="preserve">coeff. per la valorizzazione di modifiche del perimetro gestionale   </t>
    </r>
    <r>
      <rPr>
        <b/>
        <i/>
        <sz val="11"/>
        <color theme="1"/>
        <rFont val="Century Gothic"/>
        <family val="2"/>
      </rPr>
      <t>PG</t>
    </r>
    <r>
      <rPr>
        <b/>
        <i/>
        <vertAlign val="subscript"/>
        <sz val="11"/>
        <color theme="1"/>
        <rFont val="Century Gothic"/>
        <family val="2"/>
      </rPr>
      <t>a</t>
    </r>
    <r>
      <rPr>
        <sz val="11"/>
        <color theme="1"/>
        <rFont val="Century Gothic"/>
        <family val="2"/>
      </rPr>
      <t xml:space="preserve"> </t>
    </r>
  </si>
  <si>
    <r>
      <t xml:space="preserve">coeff. per decreto legislativo n. 116/20   </t>
    </r>
    <r>
      <rPr>
        <b/>
        <i/>
        <sz val="11"/>
        <color theme="1"/>
        <rFont val="Century Gothic"/>
        <family val="2"/>
      </rPr>
      <t>C</t>
    </r>
    <r>
      <rPr>
        <b/>
        <i/>
        <vertAlign val="subscript"/>
        <sz val="11"/>
        <rFont val="Century Gothic"/>
        <family val="2"/>
      </rPr>
      <t>116</t>
    </r>
    <r>
      <rPr>
        <sz val="11"/>
        <rFont val="Century Gothic"/>
        <family val="2"/>
      </rPr>
      <t xml:space="preserve"> </t>
    </r>
  </si>
  <si>
    <r>
      <t xml:space="preserve">Parametro per la determinazione del limite alla crescita delle tariffe </t>
    </r>
    <r>
      <rPr>
        <b/>
        <i/>
        <sz val="11"/>
        <color theme="0"/>
        <rFont val="Calibri"/>
        <family val="2"/>
      </rPr>
      <t>ρ</t>
    </r>
  </si>
  <si>
    <t>(1+ρ)</t>
  </si>
  <si>
    <r>
      <t xml:space="preserve"> </t>
    </r>
    <r>
      <rPr>
        <i/>
        <sz val="11"/>
        <color theme="0"/>
        <rFont val="Century Gothic"/>
        <family val="2"/>
      </rPr>
      <t>∑T</t>
    </r>
    <r>
      <rPr>
        <i/>
        <vertAlign val="subscript"/>
        <sz val="11"/>
        <color theme="0"/>
        <rFont val="Century Gothic"/>
        <family val="2"/>
      </rPr>
      <t>a</t>
    </r>
  </si>
  <si>
    <r>
      <t xml:space="preserve"> </t>
    </r>
    <r>
      <rPr>
        <i/>
        <sz val="11"/>
        <color theme="1"/>
        <rFont val="Century Gothic"/>
        <family val="2"/>
      </rPr>
      <t>∑TV</t>
    </r>
    <r>
      <rPr>
        <i/>
        <vertAlign val="subscript"/>
        <sz val="11"/>
        <color theme="1"/>
        <rFont val="Century Gothic"/>
        <family val="2"/>
      </rPr>
      <t>a-1</t>
    </r>
  </si>
  <si>
    <r>
      <t xml:space="preserve"> </t>
    </r>
    <r>
      <rPr>
        <i/>
        <sz val="11"/>
        <color theme="1"/>
        <rFont val="Century Gothic"/>
        <family val="2"/>
      </rPr>
      <t>∑TF</t>
    </r>
    <r>
      <rPr>
        <i/>
        <vertAlign val="subscript"/>
        <sz val="11"/>
        <color theme="1"/>
        <rFont val="Century Gothic"/>
        <family val="2"/>
      </rPr>
      <t>a-1</t>
    </r>
  </si>
  <si>
    <r>
      <t xml:space="preserve"> </t>
    </r>
    <r>
      <rPr>
        <i/>
        <sz val="11"/>
        <color theme="0"/>
        <rFont val="Century Gothic"/>
        <family val="2"/>
      </rPr>
      <t>∑T</t>
    </r>
    <r>
      <rPr>
        <i/>
        <vertAlign val="subscript"/>
        <sz val="11"/>
        <color theme="0"/>
        <rFont val="Century Gothic"/>
        <family val="2"/>
      </rPr>
      <t>a-1</t>
    </r>
  </si>
  <si>
    <r>
      <t xml:space="preserve"> </t>
    </r>
    <r>
      <rPr>
        <b/>
        <i/>
        <sz val="11"/>
        <color theme="0"/>
        <rFont val="Century Gothic"/>
        <family val="2"/>
      </rPr>
      <t>∑T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i/>
        <sz val="11"/>
        <color theme="0"/>
        <rFont val="Century Gothic"/>
        <family val="2"/>
      </rPr>
      <t>/ ∑T</t>
    </r>
    <r>
      <rPr>
        <b/>
        <i/>
        <vertAlign val="subscript"/>
        <sz val="11"/>
        <color theme="0"/>
        <rFont val="Century Gothic"/>
        <family val="2"/>
      </rPr>
      <t>a-1</t>
    </r>
  </si>
  <si>
    <r>
      <t>∑T</t>
    </r>
    <r>
      <rPr>
        <b/>
        <vertAlign val="subscript"/>
        <sz val="11"/>
        <color theme="0"/>
        <rFont val="Century Gothic"/>
        <family val="2"/>
      </rPr>
      <t>max</t>
    </r>
    <r>
      <rPr>
        <b/>
        <sz val="11"/>
        <color theme="0"/>
        <rFont val="Century Gothic"/>
        <family val="2"/>
      </rPr>
      <t xml:space="preserve">  (entrate tariffarie massime applicabili nel rispetto del limite di crescita)</t>
    </r>
  </si>
  <si>
    <r>
      <t>delta (∑T</t>
    </r>
    <r>
      <rPr>
        <b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>-∑T</t>
    </r>
    <r>
      <rPr>
        <b/>
        <vertAlign val="subscript"/>
        <sz val="11"/>
        <color theme="0"/>
        <rFont val="Century Gothic"/>
        <family val="2"/>
      </rPr>
      <t>max</t>
    </r>
    <r>
      <rPr>
        <b/>
        <sz val="11"/>
        <color theme="0"/>
        <rFont val="Century Gothic"/>
        <family val="2"/>
      </rPr>
      <t>)</t>
    </r>
  </si>
  <si>
    <t xml:space="preserve">TVa dopo distribuzione delta (∑Ta-∑Tmax) </t>
  </si>
  <si>
    <t xml:space="preserve">TFa dopo distribuzione delta (∑Ta-∑Tmax) </t>
  </si>
  <si>
    <t xml:space="preserve">Ta=TVa+TFa dopo distribuzione delta (∑Ta-∑Tmax) </t>
  </si>
  <si>
    <t>Detrazioni di cui al comma 1.4 della Determina n. 2/DRIF/2021 - parte variabile</t>
  </si>
  <si>
    <t>Detrazioni di cui al comma 1.4 della Determina n. 2/DRIF/2021 - parte fissa</t>
  </si>
  <si>
    <r>
      <rPr>
        <b/>
        <i/>
        <sz val="11"/>
        <color theme="0"/>
        <rFont val="Century Gothic"/>
        <family val="2"/>
      </rPr>
      <t>∑TV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 xml:space="preserve"> totale delle entrate tariffarie relative alle componenti di costo variabile dopo le detrazioni di cui al comma 1.4 della Determina n.2/DRIF/2021 </t>
    </r>
  </si>
  <si>
    <r>
      <rPr>
        <b/>
        <i/>
        <sz val="11"/>
        <color theme="0"/>
        <rFont val="Century Gothic"/>
        <family val="2"/>
      </rPr>
      <t>∑TF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 xml:space="preserve"> totale delle entrate tariffarie relative alle componenti di costo variabile dopo le detrazioni di cui al comma 1.4 della Determina n.2/DRIF/2021</t>
    </r>
  </si>
  <si>
    <t>Totale entrate tariffarie dopo le detrazioni di cui al comma 1.4 della Determina n.2/DRIF/2021</t>
  </si>
  <si>
    <t xml:space="preserve">Attività esterne Ciclo integrato RU </t>
  </si>
  <si>
    <t>AMM</t>
  </si>
  <si>
    <t>REM</t>
  </si>
  <si>
    <t>Campagna Lupia</t>
  </si>
  <si>
    <t>Campolongo Maggiore</t>
  </si>
  <si>
    <t>Camponogara</t>
  </si>
  <si>
    <t>Cavallino-treporti</t>
  </si>
  <si>
    <t>Cavarzere</t>
  </si>
  <si>
    <t>Ceggia</t>
  </si>
  <si>
    <t>Chioggia</t>
  </si>
  <si>
    <t>Cona</t>
  </si>
  <si>
    <t>Dolo</t>
  </si>
  <si>
    <t>Eraclea</t>
  </si>
  <si>
    <t>Fiesso d''Artico</t>
  </si>
  <si>
    <t>Fossalta di Piave</t>
  </si>
  <si>
    <t>Fossò</t>
  </si>
  <si>
    <t>Jesolo</t>
  </si>
  <si>
    <t>Marcon</t>
  </si>
  <si>
    <t>Martellago</t>
  </si>
  <si>
    <t>Meolo</t>
  </si>
  <si>
    <t>Mira</t>
  </si>
  <si>
    <t>Mirano</t>
  </si>
  <si>
    <t>Mogliano Veneto</t>
  </si>
  <si>
    <t>Musile di Piave</t>
  </si>
  <si>
    <t>Noale</t>
  </si>
  <si>
    <t>Noventa di Piave</t>
  </si>
  <si>
    <t>Pianiga</t>
  </si>
  <si>
    <t>Quarto d''Altino</t>
  </si>
  <si>
    <t>Salzano</t>
  </si>
  <si>
    <t>San Donà di Piave</t>
  </si>
  <si>
    <t>Santa Maria di Sala</t>
  </si>
  <si>
    <t>Scorzè</t>
  </si>
  <si>
    <t>Spinea</t>
  </si>
  <si>
    <t>Stra</t>
  </si>
  <si>
    <t>Torre di Mosto</t>
  </si>
  <si>
    <t>Venezia</t>
  </si>
  <si>
    <t>Vigonovo</t>
  </si>
  <si>
    <t>Amm e rem tool</t>
  </si>
  <si>
    <t>Corrispettiva</t>
  </si>
  <si>
    <t>TARI</t>
  </si>
  <si>
    <t>PEF ARERA</t>
  </si>
  <si>
    <t>Quarto d'Altino</t>
  </si>
  <si>
    <t>Fiesso d'Artico</t>
  </si>
  <si>
    <t>Conguagli Veritas</t>
  </si>
  <si>
    <t>Conguagli comune</t>
  </si>
  <si>
    <t>Ambito tariffario: Cavarzere</t>
  </si>
  <si>
    <t>Ambito tariffario: Cavallino Treporti</t>
  </si>
  <si>
    <t>Ambito tariffario: Camponogara</t>
  </si>
  <si>
    <t>Ambito tariffario: Campolongo Maggiore</t>
  </si>
  <si>
    <t>Ambito tariffario: Campagna Lupia</t>
  </si>
  <si>
    <t>Ambito tariffario: Ceggia</t>
  </si>
  <si>
    <t>Ambito tariffario: Venezia</t>
  </si>
  <si>
    <t>Ambito tariffario: Chioggia</t>
  </si>
  <si>
    <t>Ambito tariffario: Cona</t>
  </si>
  <si>
    <t>Ambito tariffario: Jesolo</t>
  </si>
  <si>
    <t>Ambito tariffario:Martellago</t>
  </si>
  <si>
    <t>Ambito tariffario: Scorzè</t>
  </si>
  <si>
    <t>Ambito tariffario: Spinea</t>
  </si>
  <si>
    <t>Ambito tariffario: Marcon</t>
  </si>
  <si>
    <t>Ambito tariffario: Mira</t>
  </si>
  <si>
    <t>Ambito tariffario: Mirano</t>
  </si>
  <si>
    <t>Ambito tariffario: Salzano</t>
  </si>
  <si>
    <t>Ambito tariffario: Santa Maria di Sala</t>
  </si>
  <si>
    <t>Ambito tariffario: Dolo</t>
  </si>
  <si>
    <t>Ambito tariffario: QUARTO D'ALTINO</t>
  </si>
  <si>
    <t>Ambito tariffario: ERACLEA</t>
  </si>
  <si>
    <t>Ambito tariffario: Fiesso D'Artico</t>
  </si>
  <si>
    <t>Ambito tariffario: FOSSALTA DI PIAVE</t>
  </si>
  <si>
    <t>Ambito tariffario: FOSSO'</t>
  </si>
  <si>
    <t>Ambito tariffario: MEOLO</t>
  </si>
  <si>
    <t>Ambito tariffario: MOGLIANO VENETO</t>
  </si>
  <si>
    <t>Ambito tariffario: MUSILE DI PIAVE</t>
  </si>
  <si>
    <t>Ambito tariffario: NOALE</t>
  </si>
  <si>
    <t>Ambito tariffario: NOVENTA DI PIAVE</t>
  </si>
  <si>
    <t>Ambito tariffario: Pianiga</t>
  </si>
  <si>
    <t>Ambito tariffario: SAN DONA' DI PIAVE</t>
  </si>
  <si>
    <t>Ambito tariffario: STRA</t>
  </si>
  <si>
    <t>Ambito tariffario: TORRE DI MOSTO</t>
  </si>
  <si>
    <t>Ambito tariffario: VIGONOVO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</si>
</sst>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.0000_-;\-* #,##0.0000_-;_-* &quot;-&quot;??_-;_-@_-"/>
    <numFmt numFmtId="168" formatCode="_-* #,##0\ _€_-;\-* #,##0\ _€_-;_-* &quot;-&quot;??\ _€_-;_-@_-"/>
    <numFmt numFmtId="169" formatCode="_-* #,##0.0000\ _€_-;\-* #,##0.0000\ _€_-;_-* &quot;-&quot;??\ _€_-;_-@_-"/>
    <numFmt numFmtId="170" formatCode="_-* #,##0.0_-;\-* #,##0.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sz val="12"/>
      <color theme="1"/>
      <name val="Century Gothic"/>
      <family val="2"/>
    </font>
    <font>
      <b/>
      <sz val="12"/>
      <color theme="3" tint="-0.499984740745262"/>
      <name val="Century Gothic"/>
      <family val="2"/>
    </font>
    <font>
      <sz val="12"/>
      <color theme="3" tint="-0.499984740745262"/>
      <name val="Century Gothic"/>
      <family val="2"/>
    </font>
    <font>
      <sz val="12"/>
      <color rgb="FFFF0000"/>
      <name val="Century Gothic"/>
      <family val="2"/>
    </font>
    <font>
      <sz val="11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b/>
      <i/>
      <vertAlign val="superscript"/>
      <sz val="11"/>
      <name val="Century Gothic"/>
      <family val="2"/>
    </font>
    <font>
      <b/>
      <i/>
      <vertAlign val="subscript"/>
      <sz val="11"/>
      <name val="Century Gothic"/>
      <family val="2"/>
    </font>
    <font>
      <b/>
      <i/>
      <vertAlign val="superscript"/>
      <sz val="11"/>
      <color theme="1"/>
      <name val="Century Gothic"/>
      <family val="2"/>
    </font>
    <font>
      <b/>
      <i/>
      <vertAlign val="subscript"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i/>
      <sz val="11"/>
      <color theme="0"/>
      <name val="Century Gothic"/>
      <family val="2"/>
    </font>
    <font>
      <b/>
      <sz val="11"/>
      <color rgb="FFC00000"/>
      <name val="Century Gothic"/>
      <family val="2"/>
    </font>
    <font>
      <i/>
      <sz val="11"/>
      <color theme="1"/>
      <name val="Century Gothic"/>
      <family val="2"/>
    </font>
    <font>
      <i/>
      <vertAlign val="subscript"/>
      <sz val="11"/>
      <color theme="1"/>
      <name val="Century Gothic"/>
      <family val="2"/>
    </font>
    <font>
      <i/>
      <sz val="11"/>
      <name val="Century Gothic"/>
      <family val="2"/>
    </font>
    <font>
      <b/>
      <i/>
      <sz val="11"/>
      <color theme="0"/>
      <name val="Calibri"/>
      <family val="2"/>
    </font>
    <font>
      <sz val="11"/>
      <color theme="0"/>
      <name val="Century Gothic"/>
      <family val="2"/>
    </font>
    <font>
      <i/>
      <sz val="11"/>
      <color theme="0"/>
      <name val="Century Gothic"/>
      <family val="2"/>
    </font>
    <font>
      <i/>
      <vertAlign val="subscript"/>
      <sz val="11"/>
      <color theme="0"/>
      <name val="Century Gothic"/>
      <family val="2"/>
    </font>
    <font>
      <b/>
      <i/>
      <vertAlign val="subscript"/>
      <sz val="11"/>
      <color theme="0"/>
      <name val="Century Gothic"/>
      <family val="2"/>
    </font>
    <font>
      <b/>
      <vertAlign val="subscript"/>
      <sz val="11"/>
      <color theme="0"/>
      <name val="Century Gothic"/>
      <family val="2"/>
    </font>
    <font>
      <sz val="14"/>
      <name val="Century Gothic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6"/>
      <color theme="0"/>
      <name val="Century Gothic"/>
      <family val="2"/>
    </font>
    <font>
      <b/>
      <sz val="12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 Narrow"/>
      <family val="2"/>
    </font>
    <font>
      <b/>
      <sz val="11"/>
      <color rgb="FFFF000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theme="1" tint="0.34998626667073579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/>
    <xf numFmtId="0" fontId="9" fillId="2" borderId="0" xfId="0" applyFont="1" applyFill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2" borderId="0" xfId="0" applyFont="1" applyFill="1"/>
    <xf numFmtId="0" fontId="12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2" borderId="10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165" fontId="9" fillId="2" borderId="11" xfId="1" applyNumberFormat="1" applyFont="1" applyFill="1" applyBorder="1" applyAlignment="1" applyProtection="1">
      <alignment horizontal="center" vertical="center"/>
    </xf>
    <xf numFmtId="165" fontId="9" fillId="3" borderId="11" xfId="1" applyNumberFormat="1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2" fontId="1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164" fontId="15" fillId="2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5" fontId="9" fillId="2" borderId="9" xfId="1" applyNumberFormat="1" applyFont="1" applyFill="1" applyBorder="1" applyProtection="1"/>
    <xf numFmtId="165" fontId="9" fillId="2" borderId="13" xfId="0" applyNumberFormat="1" applyFont="1" applyFill="1" applyBorder="1"/>
    <xf numFmtId="0" fontId="9" fillId="4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165" fontId="9" fillId="3" borderId="15" xfId="1" applyNumberFormat="1" applyFont="1" applyFill="1" applyBorder="1" applyAlignment="1" applyProtection="1">
      <alignment horizontal="center" vertical="center"/>
    </xf>
    <xf numFmtId="0" fontId="21" fillId="5" borderId="16" xfId="0" applyFont="1" applyFill="1" applyBorder="1" applyAlignment="1">
      <alignment vertical="center"/>
    </xf>
    <xf numFmtId="165" fontId="21" fillId="5" borderId="16" xfId="1" applyNumberFormat="1" applyFont="1" applyFill="1" applyBorder="1" applyAlignment="1" applyProtection="1">
      <alignment horizontal="center" vertical="center"/>
    </xf>
    <xf numFmtId="0" fontId="9" fillId="2" borderId="17" xfId="0" applyFont="1" applyFill="1" applyBorder="1"/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9" fillId="2" borderId="18" xfId="1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>
      <alignment vertical="center"/>
    </xf>
    <xf numFmtId="165" fontId="9" fillId="2" borderId="5" xfId="1" applyNumberFormat="1" applyFont="1" applyFill="1" applyBorder="1" applyAlignment="1" applyProtection="1">
      <alignment horizontal="center" vertical="center"/>
    </xf>
    <xf numFmtId="165" fontId="9" fillId="3" borderId="19" xfId="1" applyNumberFormat="1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>
      <alignment vertical="center"/>
    </xf>
    <xf numFmtId="165" fontId="9" fillId="2" borderId="20" xfId="1" applyNumberFormat="1" applyFont="1" applyFill="1" applyBorder="1" applyAlignment="1" applyProtection="1">
      <alignment horizontal="center" vertical="center"/>
    </xf>
    <xf numFmtId="165" fontId="9" fillId="3" borderId="21" xfId="1" applyNumberFormat="1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165" fontId="9" fillId="3" borderId="24" xfId="1" applyNumberFormat="1" applyFont="1" applyFill="1" applyBorder="1" applyAlignment="1" applyProtection="1">
      <alignment horizontal="center" vertical="center"/>
    </xf>
    <xf numFmtId="165" fontId="9" fillId="3" borderId="25" xfId="1" applyNumberFormat="1" applyFont="1" applyFill="1" applyBorder="1" applyAlignment="1" applyProtection="1">
      <alignment horizontal="center" vertical="center"/>
    </xf>
    <xf numFmtId="165" fontId="9" fillId="2" borderId="10" xfId="1" applyNumberFormat="1" applyFont="1" applyFill="1" applyBorder="1" applyAlignment="1" applyProtection="1">
      <alignment horizontal="center" vertical="center"/>
    </xf>
    <xf numFmtId="165" fontId="9" fillId="3" borderId="20" xfId="1" applyNumberFormat="1" applyFont="1" applyFill="1" applyBorder="1" applyAlignment="1" applyProtection="1">
      <alignment horizontal="center" vertical="center"/>
    </xf>
    <xf numFmtId="0" fontId="9" fillId="2" borderId="20" xfId="0" quotePrefix="1" applyFont="1" applyFill="1" applyBorder="1" applyAlignment="1">
      <alignment vertical="center"/>
    </xf>
    <xf numFmtId="165" fontId="9" fillId="2" borderId="22" xfId="1" applyNumberFormat="1" applyFont="1" applyFill="1" applyBorder="1" applyAlignment="1" applyProtection="1">
      <alignment horizontal="center" vertical="center"/>
    </xf>
    <xf numFmtId="165" fontId="9" fillId="2" borderId="9" xfId="1" applyNumberFormat="1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>
      <alignment vertical="center"/>
    </xf>
    <xf numFmtId="165" fontId="21" fillId="5" borderId="9" xfId="1" applyNumberFormat="1" applyFont="1" applyFill="1" applyBorder="1" applyAlignment="1" applyProtection="1">
      <alignment horizontal="center" vertical="center"/>
    </xf>
    <xf numFmtId="165" fontId="21" fillId="5" borderId="26" xfId="1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16" fillId="2" borderId="9" xfId="0" applyFont="1" applyFill="1" applyBorder="1" applyAlignment="1">
      <alignment vertical="center"/>
    </xf>
    <xf numFmtId="165" fontId="13" fillId="2" borderId="9" xfId="1" applyNumberFormat="1" applyFont="1" applyFill="1" applyBorder="1" applyAlignment="1" applyProtection="1">
      <alignment horizontal="center" vertical="center"/>
    </xf>
    <xf numFmtId="0" fontId="22" fillId="5" borderId="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165" fontId="9" fillId="2" borderId="0" xfId="1" applyNumberFormat="1" applyFont="1" applyFill="1" applyBorder="1" applyAlignment="1" applyProtection="1">
      <alignment horizontal="center" vertical="center"/>
    </xf>
    <xf numFmtId="0" fontId="23" fillId="2" borderId="17" xfId="0" applyFont="1" applyFill="1" applyBorder="1"/>
    <xf numFmtId="0" fontId="23" fillId="2" borderId="0" xfId="0" applyFont="1" applyFill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9" fontId="9" fillId="2" borderId="29" xfId="2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>
      <alignment vertical="center"/>
    </xf>
    <xf numFmtId="0" fontId="9" fillId="4" borderId="30" xfId="0" applyFont="1" applyFill="1" applyBorder="1" applyAlignment="1">
      <alignment horizontal="center" vertical="center"/>
    </xf>
    <xf numFmtId="164" fontId="15" fillId="2" borderId="31" xfId="1" applyFont="1" applyFill="1" applyBorder="1" applyAlignment="1" applyProtection="1">
      <alignment horizontal="center" vertical="center"/>
    </xf>
    <xf numFmtId="164" fontId="9" fillId="2" borderId="31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2" fontId="9" fillId="2" borderId="35" xfId="0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9" fillId="2" borderId="18" xfId="0" applyFont="1" applyFill="1" applyBorder="1"/>
    <xf numFmtId="2" fontId="9" fillId="0" borderId="29" xfId="0" applyNumberFormat="1" applyFont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2" fontId="9" fillId="0" borderId="37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2" fontId="21" fillId="5" borderId="31" xfId="0" applyNumberFormat="1" applyFont="1" applyFill="1" applyBorder="1" applyAlignment="1">
      <alignment horizontal="center" vertical="center"/>
    </xf>
    <xf numFmtId="2" fontId="21" fillId="5" borderId="40" xfId="0" applyNumberFormat="1" applyFont="1" applyFill="1" applyBorder="1" applyAlignment="1">
      <alignment horizontal="center" vertical="center"/>
    </xf>
    <xf numFmtId="2" fontId="21" fillId="5" borderId="35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2" borderId="7" xfId="0" applyFont="1" applyFill="1" applyBorder="1"/>
    <xf numFmtId="0" fontId="11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9" fillId="2" borderId="8" xfId="1" applyNumberFormat="1" applyFont="1" applyFill="1" applyBorder="1" applyAlignment="1" applyProtection="1">
      <alignment horizontal="center"/>
    </xf>
    <xf numFmtId="0" fontId="24" fillId="6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6" fontId="9" fillId="6" borderId="29" xfId="2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vertical="center"/>
    </xf>
    <xf numFmtId="10" fontId="9" fillId="2" borderId="31" xfId="0" applyNumberFormat="1" applyFont="1" applyFill="1" applyBorder="1" applyAlignment="1">
      <alignment horizontal="center" vertical="center"/>
    </xf>
    <xf numFmtId="10" fontId="21" fillId="5" borderId="31" xfId="2" applyNumberFormat="1" applyFont="1" applyFill="1" applyBorder="1" applyAlignment="1" applyProtection="1">
      <alignment horizontal="center" vertical="center"/>
    </xf>
    <xf numFmtId="167" fontId="21" fillId="5" borderId="31" xfId="1" applyNumberFormat="1" applyFont="1" applyFill="1" applyBorder="1" applyAlignment="1" applyProtection="1">
      <alignment vertical="center"/>
    </xf>
    <xf numFmtId="0" fontId="28" fillId="5" borderId="9" xfId="0" applyFont="1" applyFill="1" applyBorder="1" applyAlignment="1">
      <alignment vertical="center"/>
    </xf>
    <xf numFmtId="165" fontId="28" fillId="5" borderId="31" xfId="1" applyNumberFormat="1" applyFont="1" applyFill="1" applyBorder="1" applyAlignment="1" applyProtection="1">
      <alignment horizontal="center"/>
    </xf>
    <xf numFmtId="0" fontId="9" fillId="7" borderId="9" xfId="0" applyFont="1" applyFill="1" applyBorder="1" applyAlignment="1">
      <alignment vertical="center"/>
    </xf>
    <xf numFmtId="168" fontId="9" fillId="2" borderId="31" xfId="1" applyNumberFormat="1" applyFont="1" applyFill="1" applyBorder="1" applyAlignment="1" applyProtection="1">
      <alignment horizontal="center" vertical="center"/>
    </xf>
    <xf numFmtId="168" fontId="21" fillId="5" borderId="31" xfId="1" applyNumberFormat="1" applyFont="1" applyFill="1" applyBorder="1" applyAlignment="1" applyProtection="1">
      <alignment horizontal="center" vertical="center"/>
    </xf>
    <xf numFmtId="169" fontId="21" fillId="5" borderId="35" xfId="1" applyNumberFormat="1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21" fillId="5" borderId="42" xfId="0" applyFont="1" applyFill="1" applyBorder="1" applyAlignment="1">
      <alignment vertical="center"/>
    </xf>
    <xf numFmtId="165" fontId="21" fillId="5" borderId="29" xfId="1" applyNumberFormat="1" applyFont="1" applyFill="1" applyBorder="1" applyAlignment="1" applyProtection="1">
      <alignment horizontal="center" vertical="center"/>
    </xf>
    <xf numFmtId="0" fontId="21" fillId="5" borderId="43" xfId="0" applyFont="1" applyFill="1" applyBorder="1" applyAlignment="1">
      <alignment vertical="center"/>
    </xf>
    <xf numFmtId="165" fontId="28" fillId="5" borderId="35" xfId="1" applyNumberFormat="1" applyFont="1" applyFill="1" applyBorder="1" applyAlignment="1" applyProtection="1">
      <alignment horizontal="center" vertical="center"/>
    </xf>
    <xf numFmtId="0" fontId="28" fillId="8" borderId="44" xfId="0" applyFont="1" applyFill="1" applyBorder="1" applyAlignment="1">
      <alignment vertical="center"/>
    </xf>
    <xf numFmtId="165" fontId="13" fillId="2" borderId="27" xfId="1" applyNumberFormat="1" applyFont="1" applyFill="1" applyBorder="1" applyAlignment="1" applyProtection="1">
      <alignment horizontal="center" vertical="center"/>
    </xf>
    <xf numFmtId="165" fontId="13" fillId="2" borderId="28" xfId="1" applyNumberFormat="1" applyFont="1" applyFill="1" applyBorder="1" applyAlignment="1" applyProtection="1">
      <alignment horizontal="center" vertical="center"/>
    </xf>
    <xf numFmtId="165" fontId="13" fillId="2" borderId="14" xfId="1" applyNumberFormat="1" applyFont="1" applyFill="1" applyBorder="1" applyAlignment="1" applyProtection="1">
      <alignment horizontal="center" vertical="center"/>
    </xf>
    <xf numFmtId="165" fontId="13" fillId="2" borderId="30" xfId="1" applyNumberFormat="1" applyFont="1" applyFill="1" applyBorder="1" applyAlignment="1" applyProtection="1">
      <alignment horizontal="center" vertical="center"/>
    </xf>
    <xf numFmtId="165" fontId="21" fillId="5" borderId="31" xfId="1" applyNumberFormat="1" applyFont="1" applyFill="1" applyBorder="1" applyAlignment="1" applyProtection="1">
      <alignment horizontal="center" vertical="center"/>
    </xf>
    <xf numFmtId="0" fontId="4" fillId="2" borderId="0" xfId="0" applyFont="1" applyFill="1"/>
    <xf numFmtId="0" fontId="4" fillId="5" borderId="16" xfId="0" applyFont="1" applyFill="1" applyBorder="1" applyAlignment="1">
      <alignment vertical="center"/>
    </xf>
    <xf numFmtId="165" fontId="33" fillId="5" borderId="33" xfId="1" applyNumberFormat="1" applyFont="1" applyFill="1" applyBorder="1" applyAlignment="1" applyProtection="1">
      <alignment horizontal="center" vertical="center"/>
    </xf>
    <xf numFmtId="165" fontId="33" fillId="5" borderId="34" xfId="1" applyNumberFormat="1" applyFont="1" applyFill="1" applyBorder="1" applyAlignment="1" applyProtection="1">
      <alignment horizontal="center" vertical="center"/>
    </xf>
    <xf numFmtId="165" fontId="4" fillId="5" borderId="35" xfId="1" applyNumberFormat="1" applyFont="1" applyFill="1" applyBorder="1" applyAlignment="1" applyProtection="1">
      <alignment horizontal="center" vertical="center"/>
    </xf>
    <xf numFmtId="165" fontId="12" fillId="2" borderId="18" xfId="1" applyNumberFormat="1" applyFont="1" applyFill="1" applyBorder="1" applyAlignment="1" applyProtection="1">
      <alignment horizontal="center"/>
    </xf>
    <xf numFmtId="0" fontId="28" fillId="8" borderId="2" xfId="0" applyFont="1" applyFill="1" applyBorder="1" applyAlignment="1">
      <alignment vertical="center"/>
    </xf>
    <xf numFmtId="165" fontId="9" fillId="9" borderId="45" xfId="1" applyNumberFormat="1" applyFont="1" applyFill="1" applyBorder="1" applyAlignment="1" applyProtection="1">
      <alignment horizontal="center" vertical="center"/>
    </xf>
    <xf numFmtId="165" fontId="9" fillId="9" borderId="16" xfId="1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/>
    <xf numFmtId="0" fontId="9" fillId="2" borderId="6" xfId="0" applyFont="1" applyFill="1" applyBorder="1"/>
    <xf numFmtId="0" fontId="21" fillId="5" borderId="44" xfId="0" applyFont="1" applyFill="1" applyBorder="1" applyAlignment="1">
      <alignment vertical="center" wrapText="1"/>
    </xf>
    <xf numFmtId="165" fontId="9" fillId="2" borderId="29" xfId="1" applyNumberFormat="1" applyFont="1" applyFill="1" applyBorder="1" applyAlignment="1" applyProtection="1">
      <alignment vertical="center"/>
    </xf>
    <xf numFmtId="0" fontId="21" fillId="5" borderId="16" xfId="0" applyFont="1" applyFill="1" applyBorder="1" applyAlignment="1">
      <alignment vertical="center" wrapText="1"/>
    </xf>
    <xf numFmtId="165" fontId="9" fillId="2" borderId="31" xfId="1" applyNumberFormat="1" applyFont="1" applyFill="1" applyBorder="1" applyAlignment="1" applyProtection="1">
      <alignment vertical="center"/>
    </xf>
    <xf numFmtId="165" fontId="11" fillId="2" borderId="35" xfId="1" applyNumberFormat="1" applyFont="1" applyFill="1" applyBorder="1" applyAlignment="1" applyProtection="1">
      <alignment horizontal="center" vertical="center"/>
    </xf>
    <xf numFmtId="0" fontId="9" fillId="2" borderId="32" xfId="0" applyFont="1" applyFill="1" applyBorder="1"/>
    <xf numFmtId="0" fontId="11" fillId="10" borderId="2" xfId="0" applyFont="1" applyFill="1" applyBorder="1" applyAlignment="1">
      <alignment vertical="center"/>
    </xf>
    <xf numFmtId="165" fontId="9" fillId="9" borderId="46" xfId="1" applyNumberFormat="1" applyFont="1" applyFill="1" applyBorder="1" applyAlignment="1" applyProtection="1">
      <alignment horizontal="center" vertical="center"/>
    </xf>
    <xf numFmtId="165" fontId="9" fillId="9" borderId="4" xfId="1" applyNumberFormat="1" applyFont="1" applyFill="1" applyBorder="1" applyAlignment="1" applyProtection="1">
      <alignment horizontal="center" vertical="center"/>
    </xf>
    <xf numFmtId="165" fontId="9" fillId="3" borderId="4" xfId="1" applyNumberFormat="1" applyFont="1" applyFill="1" applyBorder="1" applyAlignment="1" applyProtection="1">
      <alignment horizontal="center" vertical="center"/>
    </xf>
    <xf numFmtId="0" fontId="12" fillId="2" borderId="0" xfId="0" applyFont="1" applyFill="1"/>
    <xf numFmtId="165" fontId="9" fillId="2" borderId="15" xfId="1" applyNumberFormat="1" applyFont="1" applyFill="1" applyBorder="1" applyAlignment="1" applyProtection="1">
      <alignment horizontal="center" vertical="center"/>
    </xf>
    <xf numFmtId="165" fontId="9" fillId="11" borderId="10" xfId="1" applyNumberFormat="1" applyFont="1" applyFill="1" applyBorder="1" applyAlignment="1" applyProtection="1">
      <alignment horizontal="center" vertical="center"/>
    </xf>
    <xf numFmtId="165" fontId="9" fillId="11" borderId="2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34" fillId="12" borderId="30" xfId="0" applyFont="1" applyFill="1" applyBorder="1" applyAlignment="1">
      <alignment horizontal="center" vertical="center" wrapText="1"/>
    </xf>
    <xf numFmtId="0" fontId="34" fillId="12" borderId="30" xfId="0" applyFont="1" applyFill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3" fontId="36" fillId="6" borderId="30" xfId="0" applyNumberFormat="1" applyFont="1" applyFill="1" applyBorder="1" applyAlignment="1">
      <alignment wrapText="1"/>
    </xf>
    <xf numFmtId="0" fontId="0" fillId="12" borderId="30" xfId="0" applyFill="1" applyBorder="1" applyAlignment="1">
      <alignment wrapText="1"/>
    </xf>
    <xf numFmtId="0" fontId="37" fillId="2" borderId="1" xfId="0" applyFont="1" applyFill="1" applyBorder="1"/>
    <xf numFmtId="165" fontId="9" fillId="2" borderId="6" xfId="0" applyNumberFormat="1" applyFont="1" applyFill="1" applyBorder="1" applyAlignment="1">
      <alignment horizontal="center"/>
    </xf>
    <xf numFmtId="165" fontId="9" fillId="0" borderId="20" xfId="1" applyNumberFormat="1" applyFont="1" applyFill="1" applyBorder="1" applyAlignment="1" applyProtection="1">
      <alignment horizontal="center" vertical="center"/>
    </xf>
    <xf numFmtId="165" fontId="9" fillId="13" borderId="20" xfId="1" applyNumberFormat="1" applyFont="1" applyFill="1" applyBorder="1" applyAlignment="1" applyProtection="1">
      <alignment horizontal="center" vertical="center"/>
    </xf>
    <xf numFmtId="0" fontId="0" fillId="0" borderId="30" xfId="0" applyBorder="1"/>
    <xf numFmtId="0" fontId="35" fillId="0" borderId="30" xfId="0" applyFont="1" applyBorder="1" applyAlignment="1">
      <alignment horizontal="left" vertical="center"/>
    </xf>
    <xf numFmtId="0" fontId="34" fillId="12" borderId="30" xfId="0" applyFont="1" applyFill="1" applyBorder="1" applyAlignment="1">
      <alignment horizontal="center" vertical="center"/>
    </xf>
    <xf numFmtId="3" fontId="36" fillId="6" borderId="30" xfId="0" applyNumberFormat="1" applyFont="1" applyFill="1" applyBorder="1" applyAlignment="1"/>
    <xf numFmtId="3" fontId="36" fillId="0" borderId="47" xfId="0" applyNumberFormat="1" applyFont="1" applyBorder="1"/>
    <xf numFmtId="165" fontId="9" fillId="2" borderId="0" xfId="0" applyNumberFormat="1" applyFont="1" applyFill="1"/>
    <xf numFmtId="165" fontId="38" fillId="2" borderId="0" xfId="0" applyNumberFormat="1" applyFont="1" applyFill="1"/>
    <xf numFmtId="165" fontId="9" fillId="14" borderId="10" xfId="1" applyNumberFormat="1" applyFont="1" applyFill="1" applyBorder="1" applyAlignment="1" applyProtection="1">
      <alignment horizontal="center" vertical="center"/>
    </xf>
    <xf numFmtId="165" fontId="9" fillId="2" borderId="0" xfId="0" applyNumberFormat="1" applyFont="1" applyFill="1" applyAlignment="1">
      <alignment horizontal="center"/>
    </xf>
    <xf numFmtId="165" fontId="28" fillId="13" borderId="35" xfId="1" applyNumberFormat="1" applyFont="1" applyFill="1" applyBorder="1" applyAlignment="1" applyProtection="1">
      <alignment horizontal="center" vertical="center"/>
    </xf>
    <xf numFmtId="165" fontId="9" fillId="13" borderId="11" xfId="1" applyNumberFormat="1" applyFont="1" applyFill="1" applyBorder="1" applyAlignment="1" applyProtection="1">
      <alignment horizontal="center" vertical="center"/>
    </xf>
    <xf numFmtId="165" fontId="9" fillId="13" borderId="5" xfId="1" applyNumberFormat="1" applyFont="1" applyFill="1" applyBorder="1" applyAlignment="1" applyProtection="1">
      <alignment horizontal="center" vertical="center"/>
    </xf>
    <xf numFmtId="165" fontId="9" fillId="13" borderId="9" xfId="1" applyNumberFormat="1" applyFont="1" applyFill="1" applyBorder="1" applyAlignment="1" applyProtection="1">
      <alignment horizontal="center" vertical="center"/>
    </xf>
    <xf numFmtId="166" fontId="9" fillId="2" borderId="0" xfId="2" applyNumberFormat="1" applyFont="1" applyFill="1"/>
    <xf numFmtId="165" fontId="23" fillId="2" borderId="0" xfId="0" applyNumberFormat="1" applyFont="1" applyFill="1" applyAlignment="1">
      <alignment horizontal="center"/>
    </xf>
    <xf numFmtId="164" fontId="9" fillId="2" borderId="0" xfId="1" applyNumberFormat="1" applyFont="1" applyFill="1" applyBorder="1" applyAlignment="1" applyProtection="1">
      <alignment horizontal="center" vertical="center"/>
    </xf>
    <xf numFmtId="164" fontId="9" fillId="2" borderId="11" xfId="1" applyFont="1" applyFill="1" applyBorder="1" applyAlignment="1" applyProtection="1">
      <alignment horizontal="center" vertical="center"/>
    </xf>
    <xf numFmtId="170" fontId="9" fillId="2" borderId="11" xfId="1" applyNumberFormat="1" applyFont="1" applyFill="1" applyBorder="1" applyAlignment="1" applyProtection="1">
      <alignment horizontal="center" vertical="center"/>
    </xf>
    <xf numFmtId="165" fontId="12" fillId="11" borderId="11" xfId="1" applyNumberFormat="1" applyFont="1" applyFill="1" applyBorder="1" applyAlignment="1" applyProtection="1">
      <alignment horizontal="center" vertical="center"/>
    </xf>
    <xf numFmtId="3" fontId="41" fillId="0" borderId="48" xfId="0" applyNumberFormat="1" applyFont="1" applyBorder="1"/>
    <xf numFmtId="165" fontId="42" fillId="11" borderId="11" xfId="1" applyNumberFormat="1" applyFont="1" applyFill="1" applyBorder="1" applyAlignment="1" applyProtection="1">
      <alignment horizontal="center" vertical="center"/>
    </xf>
    <xf numFmtId="165" fontId="42" fillId="11" borderId="9" xfId="1" applyNumberFormat="1" applyFont="1" applyFill="1" applyBorder="1" applyAlignment="1" applyProtection="1">
      <alignment horizontal="center" vertical="center"/>
    </xf>
    <xf numFmtId="165" fontId="12" fillId="11" borderId="20" xfId="1" applyNumberFormat="1" applyFont="1" applyFill="1" applyBorder="1" applyAlignment="1" applyProtection="1">
      <alignment horizontal="center" vertical="center"/>
    </xf>
    <xf numFmtId="165" fontId="12" fillId="11" borderId="0" xfId="1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2" builtinId="5"/>
    <cellStyle name="Virgola" xfId="1" builtinId="3"/>
  </cellStyles>
  <dxfs count="25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.xml"/><Relationship Id="rId40" Type="http://schemas.openxmlformats.org/officeDocument/2006/relationships/externalLink" Target="externalLinks/externalLink3.xml"/><Relationship Id="rId41" Type="http://schemas.openxmlformats.org/officeDocument/2006/relationships/theme" Target="theme/theme1.xml"/><Relationship Id="rId42" Type="http://schemas.openxmlformats.org/officeDocument/2006/relationships/styles" Target="styles.xml"/><Relationship Id="rId43" Type="http://schemas.openxmlformats.org/officeDocument/2006/relationships/sharedStrings" Target="sharedStrings.xml"/><Relationship Id="rId4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38356CAC-9C4F-40AB-9A28-5646679D72C4}"/>
            </a:ext>
          </a:extLst>
        </xdr:cNvPr>
        <xdr:cNvSpPr/>
      </xdr:nvSpPr>
      <xdr:spPr>
        <a:xfrm>
          <a:off x="2952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83CF9F3D-FD5F-4531-94BB-086B603178E8}"/>
            </a:ext>
          </a:extLst>
        </xdr:cNvPr>
        <xdr:cNvSpPr/>
      </xdr:nvSpPr>
      <xdr:spPr>
        <a:xfrm>
          <a:off x="4857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0C2EAEAB-B94E-4046-83E7-BAC272B0D1BB}"/>
            </a:ext>
          </a:extLst>
        </xdr:cNvPr>
        <xdr:cNvSpPr/>
      </xdr:nvSpPr>
      <xdr:spPr>
        <a:xfrm>
          <a:off x="4857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F6A741DB-6FBC-441D-A10E-19FEB9FB1C26}"/>
            </a:ext>
          </a:extLst>
        </xdr:cNvPr>
        <xdr:cNvSpPr/>
      </xdr:nvSpPr>
      <xdr:spPr>
        <a:xfrm>
          <a:off x="4857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CA650928-D805-4CA2-B4C4-95E2C0D733D0}"/>
            </a:ext>
          </a:extLst>
        </xdr:cNvPr>
        <xdr:cNvSpPr/>
      </xdr:nvSpPr>
      <xdr:spPr>
        <a:xfrm>
          <a:off x="4857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3909380E-03F4-4BDF-926A-3403E422C827}"/>
            </a:ext>
          </a:extLst>
        </xdr:cNvPr>
        <xdr:cNvSpPr/>
      </xdr:nvSpPr>
      <xdr:spPr>
        <a:xfrm>
          <a:off x="4857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4" name="Connettore 3">
          <a:extLst>
            <a:ext uri="{FF2B5EF4-FFF2-40B4-BE49-F238E27FC236}">
              <a16:creationId xmlns="" xmlns:a16="http://schemas.microsoft.com/office/drawing/2014/main" id="{6AFA3FAE-CB12-4B8A-BDFD-9A250C9FA859}"/>
            </a:ext>
          </a:extLst>
        </xdr:cNvPr>
        <xdr:cNvSpPr/>
      </xdr:nvSpPr>
      <xdr:spPr>
        <a:xfrm>
          <a:off x="4857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25FFF1CA-1963-45EE-8E8A-5238997BFE27}"/>
            </a:ext>
          </a:extLst>
        </xdr:cNvPr>
        <xdr:cNvSpPr/>
      </xdr:nvSpPr>
      <xdr:spPr>
        <a:xfrm>
          <a:off x="4857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1BA8493D-A27B-45F5-8E35-B4DABBC08228}"/>
            </a:ext>
          </a:extLst>
        </xdr:cNvPr>
        <xdr:cNvSpPr/>
      </xdr:nvSpPr>
      <xdr:spPr>
        <a:xfrm>
          <a:off x="4857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2652813B-8C2F-4FF2-A10C-C8F245ED88FE}"/>
            </a:ext>
          </a:extLst>
        </xdr:cNvPr>
        <xdr:cNvSpPr/>
      </xdr:nvSpPr>
      <xdr:spPr>
        <a:xfrm>
          <a:off x="4857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6FBB7ABB-C6FB-4BD3-9851-3FFA01BD4091}"/>
            </a:ext>
          </a:extLst>
        </xdr:cNvPr>
        <xdr:cNvSpPr/>
      </xdr:nvSpPr>
      <xdr:spPr>
        <a:xfrm>
          <a:off x="4857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6BDA0B25-8C66-427B-8976-2B41832C400E}"/>
            </a:ext>
          </a:extLst>
        </xdr:cNvPr>
        <xdr:cNvSpPr/>
      </xdr:nvSpPr>
      <xdr:spPr>
        <a:xfrm>
          <a:off x="4857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14F771E1-1257-4A3E-A5F6-AEA892E80616}"/>
            </a:ext>
          </a:extLst>
        </xdr:cNvPr>
        <xdr:cNvSpPr/>
      </xdr:nvSpPr>
      <xdr:spPr>
        <a:xfrm>
          <a:off x="4857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DBC5C9E5-4199-4159-8689-8A34BA7019CD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9919BAB1-2B0A-4814-85D9-4A47F30FFC9A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E3457FC1-B981-472E-9A83-93F1B23E4FA7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41D63D32-00AD-46B4-8A5C-1C74AEC76669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7CEE5E18-6C6C-4BDB-B9EA-185A7A6292CF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974945C6-4549-409E-B45B-ADED3E9C5ED7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5BC6F09F-2F2B-4084-B8ED-84A8E60DBC45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85E1DB46-91A3-4649-A780-72C6F332DC8F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25CC6A11-1424-49E2-9362-4B810D5435F5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88785DAF-458D-43A7-929E-C2BE992B612E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AB4D0423-2F00-445D-8874-4E30FBBB8D16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90294EED-DC0D-4571-83C8-666FEDCA8FE9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504A856F-47F2-4E57-9F95-06CC77CBA58A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8CDC7C1E-175C-4EAB-8CA3-85BA62C0566D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4DD24A68-2A89-498E-9581-7AA69DF20C48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F9F1D134-257E-4FCD-A95A-E5647F05959F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393F192E-F13E-4E37-94E3-211A66D7BE28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18E04B9B-2417-42B1-A935-8940E1D37C10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AC6F135F-B229-45A7-BA55-D179B1182777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7BD51D0F-D369-4350-A5F2-06F398D836E2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121B1E87-7280-4AA1-A088-AC4F36C5FCD2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551BA960-5593-4D76-91AE-2D9363F97098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77FEBC21-1288-44ED-8077-D07685F7C1C0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6666F861-FC41-48D2-8596-FF1089387EC8}"/>
            </a:ext>
          </a:extLst>
        </xdr:cNvPr>
        <xdr:cNvSpPr/>
      </xdr:nvSpPr>
      <xdr:spPr>
        <a:xfrm>
          <a:off x="4857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1CAAE60F-E569-4A28-9D30-CBCFCD9D9437}"/>
            </a:ext>
          </a:extLst>
        </xdr:cNvPr>
        <xdr:cNvSpPr/>
      </xdr:nvSpPr>
      <xdr:spPr>
        <a:xfrm>
          <a:off x="50482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2-21drif_all1_ti_Campagna%20Lu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%20Istituzionali%20CdB/Comitato%20di%20Bacino/2022/2022_04_12/MTR%20ARERA/File_comitato/PEF_Veritas-Invio13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%20Istituzionali%20CdB/Comitato%20di%20Bacino/2022/2022_04_12/MTR%20ARERA/veritas/PEF_Veritas-Invio13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  <sheetName val="002-21drif_all1_ti_Campagna Lup"/>
      <sheetName val="002-21drif_all1_ti_Campagna%20L"/>
    </sheetNames>
    <sheetDataSet>
      <sheetData sheetId="0"/>
      <sheetData sheetId="1">
        <row r="6">
          <cell r="D6" t="str">
            <v>Condiglio di Bacino Venezia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8">
          <cell r="P18">
            <v>0.1</v>
          </cell>
        </row>
      </sheetData>
      <sheetData sheetId="18">
        <row r="6">
          <cell r="D6">
            <v>88180.608081106024</v>
          </cell>
        </row>
      </sheetData>
      <sheetData sheetId="19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PEF_Campagna Lupia"/>
      <sheetName val="PEF_Campolongo Maggiore"/>
      <sheetName val="PEF_Camponogara"/>
      <sheetName val="PEF_Cavallino-treporti"/>
      <sheetName val="PEF_Cavarzere"/>
      <sheetName val="PEF_Ceggia"/>
      <sheetName val="PEF_Chioggia"/>
      <sheetName val="PEF_Cona"/>
      <sheetName val="PEF_Dolo"/>
      <sheetName val="PEF_Eraclea"/>
      <sheetName val="PEF_Fiesso d'Artico"/>
      <sheetName val="PEF_Fossalta di Piave"/>
      <sheetName val="PEF_Fossò"/>
      <sheetName val="PEF_Jesolo"/>
      <sheetName val="PEF_Marcon"/>
      <sheetName val="PEF_Martellago"/>
      <sheetName val="PEF_Meolo"/>
      <sheetName val="PEF_Mira"/>
      <sheetName val="PEF_Mirano"/>
      <sheetName val="PEF_Mogliano Veneto"/>
      <sheetName val="PEF_Musile di Piave"/>
      <sheetName val="PEF_Noale"/>
      <sheetName val="PEF_Noventa di Piave"/>
      <sheetName val="PEF_Pianiga"/>
      <sheetName val="PEF_Quarto d'Altino"/>
      <sheetName val="PEF_Salzano"/>
      <sheetName val="PEF_San Donà di Piave"/>
      <sheetName val="PEF_Santa Maria di Sala"/>
      <sheetName val="PEF_Scorzè"/>
      <sheetName val="PEF_Spinea"/>
      <sheetName val="PEF_Stra"/>
      <sheetName val="PEF_Torre di Mosto"/>
      <sheetName val="PEF_Venezia"/>
      <sheetName val="PEF_Vigonovo"/>
      <sheetName val="REM_ToolEnrico"/>
      <sheetName val="REM_ToolEnrico_detterr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">
          <cell r="B5" t="str">
            <v>Campagna Lupia</v>
          </cell>
          <cell r="C5">
            <v>64133.514215334799</v>
          </cell>
          <cell r="D5">
            <v>35650.73578750364</v>
          </cell>
          <cell r="E5">
            <v>56468.382529442606</v>
          </cell>
          <cell r="F5">
            <v>35320.855281586802</v>
          </cell>
          <cell r="G5">
            <v>53417.24036951123</v>
          </cell>
          <cell r="H5">
            <v>33718.336498490724</v>
          </cell>
          <cell r="I5">
            <v>50502.665101162056</v>
          </cell>
          <cell r="J5">
            <v>31979.81254473946</v>
          </cell>
        </row>
        <row r="6">
          <cell r="B6" t="str">
            <v>Campolongo Maggiore</v>
          </cell>
          <cell r="C6">
            <v>92612.024590090077</v>
          </cell>
          <cell r="D6">
            <v>44300.512195760195</v>
          </cell>
          <cell r="E6">
            <v>80139.674450433202</v>
          </cell>
          <cell r="F6">
            <v>42658.840616056208</v>
          </cell>
          <cell r="G6">
            <v>74966.119822486711</v>
          </cell>
          <cell r="H6">
            <v>40486.44857306093</v>
          </cell>
          <cell r="I6">
            <v>69955.675506357933</v>
          </cell>
          <cell r="J6">
            <v>38158.914353629189</v>
          </cell>
        </row>
        <row r="7">
          <cell r="B7" t="str">
            <v>Camponogara</v>
          </cell>
          <cell r="C7">
            <v>115633.25917694085</v>
          </cell>
          <cell r="D7">
            <v>59069.450772259217</v>
          </cell>
          <cell r="E7">
            <v>96704.278930299537</v>
          </cell>
          <cell r="F7">
            <v>56962.650907990159</v>
          </cell>
          <cell r="G7">
            <v>93991.663266588424</v>
          </cell>
          <cell r="H7">
            <v>54422.267270897246</v>
          </cell>
          <cell r="I7">
            <v>89033.33381279507</v>
          </cell>
          <cell r="J7">
            <v>51457.142931839568</v>
          </cell>
        </row>
        <row r="8">
          <cell r="B8" t="str">
            <v>Cavallino-treporti</v>
          </cell>
          <cell r="C8">
            <v>213855.5134648128</v>
          </cell>
          <cell r="D8">
            <v>94914.831272963667</v>
          </cell>
          <cell r="E8">
            <v>218016.11697808694</v>
          </cell>
          <cell r="F8">
            <v>86247.187375690482</v>
          </cell>
          <cell r="G8">
            <v>184438.42482715004</v>
          </cell>
          <cell r="H8">
            <v>82206.68453950758</v>
          </cell>
          <cell r="I8">
            <v>169404.48147695523</v>
          </cell>
          <cell r="J8">
            <v>86520.48369810688</v>
          </cell>
        </row>
        <row r="9">
          <cell r="B9" t="str">
            <v>Cavarzere</v>
          </cell>
          <cell r="C9">
            <v>113710.69402494724</v>
          </cell>
          <cell r="D9">
            <v>88600.516690505669</v>
          </cell>
          <cell r="E9">
            <v>113640.85491587209</v>
          </cell>
          <cell r="F9">
            <v>83199.094420758192</v>
          </cell>
          <cell r="G9">
            <v>114855.67496924695</v>
          </cell>
          <cell r="H9">
            <v>80710.315820215721</v>
          </cell>
          <cell r="I9">
            <v>104752.91472743775</v>
          </cell>
          <cell r="J9">
            <v>76527.468685777654</v>
          </cell>
        </row>
        <row r="10">
          <cell r="B10" t="str">
            <v>Ceggia</v>
          </cell>
          <cell r="C10">
            <v>31045.076223271146</v>
          </cell>
          <cell r="D10">
            <v>13537.346696310753</v>
          </cell>
          <cell r="E10">
            <v>30111.230323253323</v>
          </cell>
          <cell r="F10">
            <v>11995.602179785534</v>
          </cell>
          <cell r="G10">
            <v>23058.065133619675</v>
          </cell>
          <cell r="H10">
            <v>11651.26687302909</v>
          </cell>
          <cell r="I10">
            <v>25313.245373194379</v>
          </cell>
          <cell r="J10">
            <v>12387.912662887085</v>
          </cell>
        </row>
        <row r="11">
          <cell r="B11" t="str">
            <v>Chioggia</v>
          </cell>
          <cell r="C11">
            <v>598307.79860810656</v>
          </cell>
          <cell r="D11">
            <v>111786.12503974258</v>
          </cell>
          <cell r="E11">
            <v>579925.40525421675</v>
          </cell>
          <cell r="F11">
            <v>80778.353928621116</v>
          </cell>
          <cell r="G11">
            <v>617344.90361310053</v>
          </cell>
          <cell r="H11">
            <v>74604.923392569908</v>
          </cell>
          <cell r="I11">
            <v>611166.74323717551</v>
          </cell>
          <cell r="J11">
            <v>61544.273588817465</v>
          </cell>
        </row>
        <row r="12">
          <cell r="B12" t="str">
            <v>Cona</v>
          </cell>
          <cell r="C12">
            <v>83668.742503834073</v>
          </cell>
          <cell r="D12">
            <v>38365.296808399522</v>
          </cell>
          <cell r="E12">
            <v>83316.36293197432</v>
          </cell>
          <cell r="F12">
            <v>32379.868238695086</v>
          </cell>
          <cell r="G12">
            <v>84425.153791737204</v>
          </cell>
          <cell r="H12">
            <v>27526.848304547122</v>
          </cell>
          <cell r="I12">
            <v>84477.933439848552</v>
          </cell>
          <cell r="J12">
            <v>22274.114125239048</v>
          </cell>
        </row>
        <row r="13">
          <cell r="B13" t="str">
            <v>Dolo</v>
          </cell>
          <cell r="C13">
            <v>227890.88334448222</v>
          </cell>
          <cell r="D13">
            <v>130590.78572964224</v>
          </cell>
          <cell r="E13">
            <v>203814.15237537591</v>
          </cell>
          <cell r="F13">
            <v>123397.08837085152</v>
          </cell>
          <cell r="G13">
            <v>201768.83871892927</v>
          </cell>
          <cell r="H13">
            <v>114999.72913719073</v>
          </cell>
          <cell r="I13">
            <v>193768.16633393225</v>
          </cell>
          <cell r="J13">
            <v>105940.48133578942</v>
          </cell>
        </row>
        <row r="14">
          <cell r="B14" t="str">
            <v>Eraclea</v>
          </cell>
          <cell r="C14">
            <v>142947.98864985973</v>
          </cell>
          <cell r="D14">
            <v>51804.560678630405</v>
          </cell>
          <cell r="E14">
            <v>137906.80246166594</v>
          </cell>
          <cell r="F14">
            <v>44420.734007430641</v>
          </cell>
          <cell r="G14">
            <v>101972.04887652493</v>
          </cell>
          <cell r="H14">
            <v>40840.628129135934</v>
          </cell>
          <cell r="I14">
            <v>105583.94918828845</v>
          </cell>
          <cell r="J14">
            <v>42294.971312386799</v>
          </cell>
        </row>
        <row r="15">
          <cell r="B15" t="str">
            <v>Fiesso d'Artico</v>
          </cell>
          <cell r="C15">
            <v>95550.656205104402</v>
          </cell>
          <cell r="D15">
            <v>34981.028708755111</v>
          </cell>
          <cell r="E15">
            <v>73451.765056837758</v>
          </cell>
          <cell r="F15">
            <v>32589.567256167327</v>
          </cell>
          <cell r="G15">
            <v>71484.120102744186</v>
          </cell>
          <cell r="H15">
            <v>30456.899031715944</v>
          </cell>
          <cell r="I15">
            <v>62273.127287900621</v>
          </cell>
          <cell r="J15">
            <v>28034.864837319241</v>
          </cell>
        </row>
        <row r="16">
          <cell r="B16" t="str">
            <v>Fossalta di Piave</v>
          </cell>
          <cell r="C16">
            <v>97485.549325107102</v>
          </cell>
          <cell r="D16">
            <v>22494.519505896704</v>
          </cell>
          <cell r="E16">
            <v>55837.761623805076</v>
          </cell>
          <cell r="F16">
            <v>16594.549874059969</v>
          </cell>
          <cell r="G16">
            <v>42194.685694987522</v>
          </cell>
          <cell r="H16">
            <v>14007.445224011644</v>
          </cell>
          <cell r="I16">
            <v>39210.623739853792</v>
          </cell>
          <cell r="J16">
            <v>12719.232972380571</v>
          </cell>
        </row>
        <row r="17">
          <cell r="B17" t="str">
            <v>Fossò</v>
          </cell>
          <cell r="C17">
            <v>65676.009702974887</v>
          </cell>
          <cell r="D17">
            <v>34397.923502377169</v>
          </cell>
          <cell r="E17">
            <v>53933.83883748074</v>
          </cell>
          <cell r="F17">
            <v>33123.862585007897</v>
          </cell>
          <cell r="G17">
            <v>53555.709888873804</v>
          </cell>
          <cell r="H17">
            <v>31743.26133497684</v>
          </cell>
          <cell r="I17">
            <v>50871.369829171628</v>
          </cell>
          <cell r="J17">
            <v>30035.407465476892</v>
          </cell>
        </row>
        <row r="18">
          <cell r="B18" t="str">
            <v>Jesolo</v>
          </cell>
          <cell r="C18">
            <v>520195.91182683071</v>
          </cell>
          <cell r="D18">
            <v>217615.82990371587</v>
          </cell>
          <cell r="E18">
            <v>518911.34638337372</v>
          </cell>
          <cell r="F18">
            <v>191870.36289249256</v>
          </cell>
          <cell r="G18">
            <v>608440.69309930457</v>
          </cell>
          <cell r="H18">
            <v>244374.05072170976</v>
          </cell>
          <cell r="I18">
            <v>582062.12300113204</v>
          </cell>
          <cell r="J18">
            <v>243088.40843495043</v>
          </cell>
        </row>
        <row r="19">
          <cell r="B19" t="str">
            <v>Marcon</v>
          </cell>
          <cell r="C19">
            <v>97548.783520773446</v>
          </cell>
          <cell r="D19">
            <v>37911.284414436988</v>
          </cell>
          <cell r="E19">
            <v>83377.154169056754</v>
          </cell>
          <cell r="F19">
            <v>33226.854465962897</v>
          </cell>
          <cell r="G19">
            <v>58731.368464118212</v>
          </cell>
          <cell r="H19">
            <v>34529.583445737946</v>
          </cell>
          <cell r="I19">
            <v>64359.042108201393</v>
          </cell>
          <cell r="J19">
            <v>36445.261788845783</v>
          </cell>
        </row>
        <row r="20">
          <cell r="B20" t="str">
            <v>Martellago</v>
          </cell>
          <cell r="C20">
            <v>149271.77996755127</v>
          </cell>
          <cell r="D20">
            <v>64187.4934899742</v>
          </cell>
          <cell r="E20">
            <v>125276.57432596301</v>
          </cell>
          <cell r="F20">
            <v>61224.262407626346</v>
          </cell>
          <cell r="G20">
            <v>131962.83927712269</v>
          </cell>
          <cell r="H20">
            <v>63053.78717874155</v>
          </cell>
          <cell r="I20">
            <v>129881.32858607982</v>
          </cell>
          <cell r="J20">
            <v>62973.427280296666</v>
          </cell>
        </row>
        <row r="21">
          <cell r="B21" t="str">
            <v>Meolo</v>
          </cell>
          <cell r="C21">
            <v>68793.389280973788</v>
          </cell>
          <cell r="D21">
            <v>29349.672778966578</v>
          </cell>
          <cell r="E21">
            <v>65444.300793110575</v>
          </cell>
          <cell r="F21">
            <v>25494.505970443694</v>
          </cell>
          <cell r="G21">
            <v>61184.519204717413</v>
          </cell>
          <cell r="H21">
            <v>23827.886166204771</v>
          </cell>
          <cell r="I21">
            <v>64758.823302391858</v>
          </cell>
          <cell r="J21">
            <v>22096.743355533014</v>
          </cell>
        </row>
        <row r="22">
          <cell r="B22" t="str">
            <v>Mira</v>
          </cell>
          <cell r="C22">
            <v>521894.07220452896</v>
          </cell>
          <cell r="D22">
            <v>223266.1558443532</v>
          </cell>
          <cell r="E22">
            <v>395400.44738554582</v>
          </cell>
          <cell r="F22">
            <v>206153.53638260151</v>
          </cell>
          <cell r="G22">
            <v>385186.05000317091</v>
          </cell>
          <cell r="H22">
            <v>192278.76041455372</v>
          </cell>
          <cell r="I22">
            <v>339471.29978838062</v>
          </cell>
          <cell r="J22">
            <v>177130.48008245006</v>
          </cell>
        </row>
        <row r="23">
          <cell r="B23" t="str">
            <v>Mirano</v>
          </cell>
          <cell r="C23">
            <v>243526.36370006969</v>
          </cell>
          <cell r="D23">
            <v>147916.02933346067</v>
          </cell>
          <cell r="E23">
            <v>207828.66002411721</v>
          </cell>
          <cell r="F23">
            <v>141133.96912405844</v>
          </cell>
          <cell r="G23">
            <v>221467.57695373931</v>
          </cell>
          <cell r="H23">
            <v>141028.19072958824</v>
          </cell>
          <cell r="I23">
            <v>221831.84976809041</v>
          </cell>
          <cell r="J23">
            <v>137979.78280312652</v>
          </cell>
        </row>
        <row r="24">
          <cell r="B24" t="str">
            <v>Mogliano Veneto</v>
          </cell>
          <cell r="C24">
            <v>426198.54701207735</v>
          </cell>
          <cell r="D24">
            <v>117499.8753678033</v>
          </cell>
          <cell r="E24">
            <v>306979.14443875075</v>
          </cell>
          <cell r="F24">
            <v>93218.377867092131</v>
          </cell>
          <cell r="G24">
            <v>285179.03843713959</v>
          </cell>
          <cell r="H24">
            <v>92700.03613131716</v>
          </cell>
          <cell r="I24">
            <v>306507.70781174116</v>
          </cell>
          <cell r="J24">
            <v>91960.670617527328</v>
          </cell>
        </row>
        <row r="25">
          <cell r="B25" t="str">
            <v>Musile di Piave</v>
          </cell>
          <cell r="C25">
            <v>98535.758698694117</v>
          </cell>
          <cell r="D25">
            <v>37950.37318881863</v>
          </cell>
          <cell r="E25">
            <v>93763.534042377243</v>
          </cell>
          <cell r="F25">
            <v>32251.258659227708</v>
          </cell>
          <cell r="G25">
            <v>71916.295056348637</v>
          </cell>
          <cell r="H25">
            <v>28498.560988753612</v>
          </cell>
          <cell r="I25">
            <v>70113.795103019365</v>
          </cell>
          <cell r="J25">
            <v>27092.995529696796</v>
          </cell>
        </row>
        <row r="26">
          <cell r="B26" t="str">
            <v>Noale</v>
          </cell>
          <cell r="C26">
            <v>133507.56657862815</v>
          </cell>
          <cell r="D26">
            <v>58463.910872984903</v>
          </cell>
          <cell r="E26">
            <v>110966.78752328076</v>
          </cell>
          <cell r="F26">
            <v>55464.37676217276</v>
          </cell>
          <cell r="G26">
            <v>118075.00099963487</v>
          </cell>
          <cell r="H26">
            <v>56701.990141941205</v>
          </cell>
          <cell r="I26">
            <v>116826.5695198894</v>
          </cell>
          <cell r="J26">
            <v>56219.311283160707</v>
          </cell>
        </row>
        <row r="27">
          <cell r="B27" t="str">
            <v>Noventa di Piave</v>
          </cell>
          <cell r="C27">
            <v>41005.232255573486</v>
          </cell>
          <cell r="D27">
            <v>21209.713724040121</v>
          </cell>
          <cell r="E27">
            <v>40356.893852041903</v>
          </cell>
          <cell r="F27">
            <v>18850.923065676569</v>
          </cell>
          <cell r="G27">
            <v>34441.110214472828</v>
          </cell>
          <cell r="H27">
            <v>17730.573727808511</v>
          </cell>
          <cell r="I27">
            <v>36531.52289106878</v>
          </cell>
          <cell r="J27">
            <v>17589.307784960332</v>
          </cell>
        </row>
        <row r="28">
          <cell r="B28" t="str">
            <v>Pianiga</v>
          </cell>
          <cell r="C28">
            <v>98257.944925291784</v>
          </cell>
          <cell r="D28">
            <v>54270.714320975647</v>
          </cell>
          <cell r="E28">
            <v>84257.504075334626</v>
          </cell>
          <cell r="F28">
            <v>52764.187146122909</v>
          </cell>
          <cell r="G28">
            <v>91934.444927021614</v>
          </cell>
          <cell r="H28">
            <v>55340.788128374916</v>
          </cell>
          <cell r="I28">
            <v>95249.767387153261</v>
          </cell>
          <cell r="J28">
            <v>56725.929961880029</v>
          </cell>
        </row>
        <row r="29">
          <cell r="B29" t="str">
            <v>Quarto d'Altino</v>
          </cell>
          <cell r="C29">
            <v>78153.798044387033</v>
          </cell>
          <cell r="D29">
            <v>23828.27136024199</v>
          </cell>
          <cell r="E29">
            <v>65174.331211807708</v>
          </cell>
          <cell r="F29">
            <v>19653.557279696652</v>
          </cell>
          <cell r="G29">
            <v>39374.11176206504</v>
          </cell>
          <cell r="H29">
            <v>18819.643065322285</v>
          </cell>
          <cell r="I29">
            <v>41693.78124972817</v>
          </cell>
          <cell r="J29">
            <v>19162.167785242626</v>
          </cell>
        </row>
        <row r="30">
          <cell r="B30" t="str">
            <v>Salzano</v>
          </cell>
          <cell r="C30">
            <v>115311.77564566016</v>
          </cell>
          <cell r="D30">
            <v>54226.306407020762</v>
          </cell>
          <cell r="E30">
            <v>100491.96110083834</v>
          </cell>
          <cell r="F30">
            <v>53565.068745656979</v>
          </cell>
          <cell r="G30">
            <v>98577.097631316268</v>
          </cell>
          <cell r="H30">
            <v>50839.389625075019</v>
          </cell>
          <cell r="I30">
            <v>91440.885064859991</v>
          </cell>
          <cell r="J30">
            <v>47644.016732634387</v>
          </cell>
        </row>
        <row r="31">
          <cell r="B31" t="str">
            <v>San Donà di Piave</v>
          </cell>
          <cell r="C31">
            <v>530954.68821631791</v>
          </cell>
          <cell r="D31">
            <v>158818.80915976386</v>
          </cell>
          <cell r="E31">
            <v>498098.37375283998</v>
          </cell>
          <cell r="F31">
            <v>129058.85930058893</v>
          </cell>
          <cell r="G31">
            <v>354379.30857405375</v>
          </cell>
          <cell r="H31">
            <v>110093.17425071138</v>
          </cell>
          <cell r="I31">
            <v>353749.01784370857</v>
          </cell>
          <cell r="J31">
            <v>107600.51295915876</v>
          </cell>
        </row>
        <row r="32">
          <cell r="B32" t="str">
            <v>Santa Maria di Sala</v>
          </cell>
          <cell r="C32">
            <v>106408.13903928846</v>
          </cell>
          <cell r="D32">
            <v>59696.043780339314</v>
          </cell>
          <cell r="E32">
            <v>90475.226175644697</v>
          </cell>
          <cell r="F32">
            <v>57722.700349034341</v>
          </cell>
          <cell r="G32">
            <v>96473.724881534363</v>
          </cell>
          <cell r="H32">
            <v>59321.515578239589</v>
          </cell>
          <cell r="I32">
            <v>97034.225139311719</v>
          </cell>
          <cell r="J32">
            <v>59416.878132440885</v>
          </cell>
        </row>
        <row r="33">
          <cell r="B33" t="str">
            <v>Scorzè</v>
          </cell>
          <cell r="C33">
            <v>125420.30531826665</v>
          </cell>
          <cell r="D33">
            <v>73002.260752309478</v>
          </cell>
          <cell r="E33">
            <v>104616.3251631797</v>
          </cell>
          <cell r="F33">
            <v>70475.448046639824</v>
          </cell>
          <cell r="G33">
            <v>112941.64007331192</v>
          </cell>
          <cell r="H33">
            <v>72778.798193552837</v>
          </cell>
          <cell r="I33">
            <v>113448.53512531149</v>
          </cell>
          <cell r="J33">
            <v>73156.751857554569</v>
          </cell>
        </row>
        <row r="34">
          <cell r="B34" t="str">
            <v>Spinea</v>
          </cell>
          <cell r="C34">
            <v>180481.13596643484</v>
          </cell>
          <cell r="D34">
            <v>94114.763447067686</v>
          </cell>
          <cell r="E34">
            <v>160772.70785979251</v>
          </cell>
          <cell r="F34">
            <v>92639.587257247462</v>
          </cell>
          <cell r="G34">
            <v>173111.36552705435</v>
          </cell>
          <cell r="H34">
            <v>95859.022329901272</v>
          </cell>
          <cell r="I34">
            <v>174532.4266849072</v>
          </cell>
          <cell r="J34">
            <v>96210.009837214922</v>
          </cell>
        </row>
        <row r="35">
          <cell r="B35" t="str">
            <v>Stra</v>
          </cell>
          <cell r="C35">
            <v>98271.867812037992</v>
          </cell>
          <cell r="D35">
            <v>38653.348909619279</v>
          </cell>
          <cell r="E35">
            <v>75837.321243947299</v>
          </cell>
          <cell r="F35">
            <v>36439.895360482071</v>
          </cell>
          <cell r="G35">
            <v>72885.995133224977</v>
          </cell>
          <cell r="H35">
            <v>34082.050414015714</v>
          </cell>
          <cell r="I35">
            <v>63310.471373108303</v>
          </cell>
          <cell r="J35">
            <v>31544.500988958484</v>
          </cell>
        </row>
        <row r="36">
          <cell r="B36" t="str">
            <v>Torre di Mosto</v>
          </cell>
          <cell r="C36">
            <v>29287.833341865113</v>
          </cell>
          <cell r="D36">
            <v>11477.097523675913</v>
          </cell>
          <cell r="E36">
            <v>28311.053274705588</v>
          </cell>
          <cell r="F36">
            <v>9940.4432043769539</v>
          </cell>
          <cell r="G36">
            <v>22416.262467739609</v>
          </cell>
          <cell r="H36">
            <v>10310.583640013449</v>
          </cell>
          <cell r="I36">
            <v>23742.364261328723</v>
          </cell>
          <cell r="J36">
            <v>10690.419867295417</v>
          </cell>
        </row>
        <row r="37">
          <cell r="B37" t="str">
            <v>Venezia</v>
          </cell>
          <cell r="C37">
            <v>4048951.6022983477</v>
          </cell>
          <cell r="D37">
            <v>2604594.0189081589</v>
          </cell>
          <cell r="E37">
            <v>3748260.8808395509</v>
          </cell>
          <cell r="F37">
            <v>2449231.2792901313</v>
          </cell>
          <cell r="G37">
            <v>4156164.027086515</v>
          </cell>
          <cell r="H37">
            <v>2580655.2823598213</v>
          </cell>
          <cell r="I37">
            <v>4292679.991432705</v>
          </cell>
          <cell r="J37">
            <v>2666129.1997580826</v>
          </cell>
        </row>
        <row r="38">
          <cell r="B38" t="str">
            <v>Vigonovo</v>
          </cell>
          <cell r="C38">
            <v>95508.795035355724</v>
          </cell>
          <cell r="D38">
            <v>55894.919970793264</v>
          </cell>
          <cell r="E38">
            <v>83255.08103543584</v>
          </cell>
          <cell r="F38">
            <v>54111.685815599376</v>
          </cell>
          <cell r="G38">
            <v>77363.078930150165</v>
          </cell>
          <cell r="H38">
            <v>51801.229413476642</v>
          </cell>
          <cell r="I38">
            <v>72649.663308976102</v>
          </cell>
          <cell r="J38">
            <v>49367.422047250933</v>
          </cell>
        </row>
      </sheetData>
      <sheetData sheetId="36">
        <row r="5">
          <cell r="B5" t="str">
            <v>Campagna Lupia</v>
          </cell>
          <cell r="C5">
            <v>1308.4344262426837</v>
          </cell>
        </row>
        <row r="6">
          <cell r="B6" t="str">
            <v>Campolongo Maggiore</v>
          </cell>
          <cell r="C6">
            <v>1428.0401981382663</v>
          </cell>
        </row>
        <row r="7">
          <cell r="B7" t="str">
            <v>Camponogara</v>
          </cell>
          <cell r="C7">
            <v>1793.9077876837187</v>
          </cell>
        </row>
        <row r="8">
          <cell r="B8" t="str">
            <v>Cavallino-treporti</v>
          </cell>
          <cell r="C8">
            <v>0</v>
          </cell>
        </row>
        <row r="9">
          <cell r="B9" t="str">
            <v>Cavarzere</v>
          </cell>
          <cell r="C9">
            <v>0</v>
          </cell>
        </row>
        <row r="10">
          <cell r="B10" t="str">
            <v>Ceggia</v>
          </cell>
          <cell r="C10">
            <v>0</v>
          </cell>
        </row>
        <row r="11">
          <cell r="B11" t="str">
            <v>Chioggia</v>
          </cell>
          <cell r="C11">
            <v>183080.55961892253</v>
          </cell>
        </row>
        <row r="12">
          <cell r="B12" t="str">
            <v>Cona</v>
          </cell>
          <cell r="C12">
            <v>0</v>
          </cell>
        </row>
        <row r="13">
          <cell r="B13" t="str">
            <v>Dolo</v>
          </cell>
          <cell r="C13">
            <v>2288.5357908148853</v>
          </cell>
        </row>
        <row r="14">
          <cell r="B14" t="str">
            <v>Eraclea</v>
          </cell>
          <cell r="C14">
            <v>0</v>
          </cell>
        </row>
        <row r="15">
          <cell r="B15" t="str">
            <v>Fiesso d'Artico</v>
          </cell>
          <cell r="C15">
            <v>1241.2669697915674</v>
          </cell>
        </row>
        <row r="16">
          <cell r="B16" t="str">
            <v>Fossalta di Piave</v>
          </cell>
          <cell r="C16">
            <v>0</v>
          </cell>
        </row>
        <row r="17">
          <cell r="B17" t="str">
            <v>Fossò</v>
          </cell>
          <cell r="C17">
            <v>1361.3451567980935</v>
          </cell>
        </row>
        <row r="18">
          <cell r="B18" t="str">
            <v>Jesolo</v>
          </cell>
          <cell r="C18">
            <v>0</v>
          </cell>
        </row>
        <row r="19">
          <cell r="B19" t="str">
            <v>Marcon</v>
          </cell>
          <cell r="C19">
            <v>0</v>
          </cell>
        </row>
        <row r="20">
          <cell r="B20" t="str">
            <v>Martellago</v>
          </cell>
          <cell r="C20">
            <v>2962.4684692897031</v>
          </cell>
        </row>
        <row r="21">
          <cell r="B21" t="str">
            <v>Meolo</v>
          </cell>
          <cell r="C21">
            <v>0</v>
          </cell>
        </row>
        <row r="22">
          <cell r="B22" t="str">
            <v>Mira</v>
          </cell>
          <cell r="C22">
            <v>5941.5806702333239</v>
          </cell>
        </row>
        <row r="23">
          <cell r="B23" t="str">
            <v>Mirano</v>
          </cell>
          <cell r="C23">
            <v>4608.4204876248168</v>
          </cell>
        </row>
        <row r="24">
          <cell r="B24" t="str">
            <v>Mogliano Veneto</v>
          </cell>
          <cell r="C24">
            <v>0</v>
          </cell>
        </row>
        <row r="25">
          <cell r="B25" t="str">
            <v>Musile di Piave</v>
          </cell>
          <cell r="C25">
            <v>0</v>
          </cell>
        </row>
        <row r="26">
          <cell r="B26" t="str">
            <v>Noale</v>
          </cell>
          <cell r="C26">
            <v>2810.4631158566131</v>
          </cell>
        </row>
        <row r="27">
          <cell r="B27" t="str">
            <v>Noventa di Piave</v>
          </cell>
          <cell r="C27">
            <v>0</v>
          </cell>
        </row>
        <row r="28">
          <cell r="B28" t="str">
            <v>Pianiga</v>
          </cell>
          <cell r="C28">
            <v>2119.0579823043049</v>
          </cell>
        </row>
        <row r="29">
          <cell r="B29" t="str">
            <v>Quarto d'Altino</v>
          </cell>
          <cell r="C29">
            <v>0</v>
          </cell>
        </row>
        <row r="30">
          <cell r="B30" t="str">
            <v>Salzano</v>
          </cell>
          <cell r="C30">
            <v>1526.1798423337891</v>
          </cell>
        </row>
        <row r="31">
          <cell r="B31" t="str">
            <v>San Donà di Piave</v>
          </cell>
          <cell r="C31">
            <v>0</v>
          </cell>
        </row>
        <row r="32">
          <cell r="B32" t="str">
            <v>Santa Maria di Sala</v>
          </cell>
          <cell r="C32">
            <v>1947.7663945214567</v>
          </cell>
        </row>
        <row r="33">
          <cell r="B33" t="str">
            <v>Scorzè</v>
          </cell>
          <cell r="C33">
            <v>2759.9839357504297</v>
          </cell>
        </row>
        <row r="34">
          <cell r="B34" t="str">
            <v>Spinea</v>
          </cell>
          <cell r="C34">
            <v>4098.2747243220356</v>
          </cell>
        </row>
        <row r="35">
          <cell r="B35" t="str">
            <v>Stra</v>
          </cell>
          <cell r="C35">
            <v>1151.3517490814168</v>
          </cell>
        </row>
        <row r="36">
          <cell r="B36" t="str">
            <v>Torre di Mosto</v>
          </cell>
          <cell r="C36">
            <v>0</v>
          </cell>
        </row>
        <row r="37">
          <cell r="B37" t="str">
            <v>Venezia</v>
          </cell>
          <cell r="C37">
            <v>0</v>
          </cell>
        </row>
        <row r="38">
          <cell r="B38" t="str">
            <v>Vigonovo</v>
          </cell>
          <cell r="C38">
            <v>1606.2717941115579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PEF_Campagna Lupia"/>
      <sheetName val="PEF_Campolongo Maggiore"/>
      <sheetName val="PEF_Camponogara"/>
      <sheetName val="PEF_Cavallino-treporti"/>
      <sheetName val="PEF_Cavarzere"/>
      <sheetName val="PEF_Ceggia"/>
      <sheetName val="PEF_Chioggia"/>
      <sheetName val="PEF_Cona"/>
      <sheetName val="PEF_Dolo"/>
      <sheetName val="PEF_Eraclea"/>
      <sheetName val="PEF_Fiesso d'Artico"/>
      <sheetName val="PEF_Fossalta di Piave"/>
      <sheetName val="PEF_Fossò"/>
      <sheetName val="PEF_Jesolo"/>
      <sheetName val="PEF_Marcon"/>
      <sheetName val="PEF_Martellago"/>
      <sheetName val="PEF_Meolo"/>
      <sheetName val="PEF_Mira"/>
      <sheetName val="PEF_Mirano"/>
      <sheetName val="PEF_Mogliano Veneto"/>
      <sheetName val="PEF_Musile di Piave"/>
      <sheetName val="PEF_Noale"/>
      <sheetName val="PEF_Noventa di Piave"/>
      <sheetName val="PEF_Pianiga"/>
      <sheetName val="PEF_Quarto d'Altino"/>
      <sheetName val="PEF_Salzano"/>
      <sheetName val="PEF_San Donà di Piave"/>
      <sheetName val="PEF_Santa Maria di Sala"/>
      <sheetName val="PEF_Scorzè"/>
      <sheetName val="PEF_Spinea"/>
      <sheetName val="PEF_Stra"/>
      <sheetName val="PEF_Torre di Mosto"/>
      <sheetName val="PEF_Venezia"/>
      <sheetName val="PEF_Vigonovo"/>
      <sheetName val="REM_ToolEnrico"/>
      <sheetName val="REM_ToolEnrico_detterr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">
          <cell r="B5" t="str">
            <v>Campagna Lupia</v>
          </cell>
          <cell r="C5">
            <v>64133.514215334799</v>
          </cell>
          <cell r="D5">
            <v>35650.73578750364</v>
          </cell>
          <cell r="E5">
            <v>56468.382529442606</v>
          </cell>
          <cell r="F5">
            <v>35320.855281586802</v>
          </cell>
          <cell r="G5">
            <v>53417.24036951123</v>
          </cell>
          <cell r="H5">
            <v>33718.336498490724</v>
          </cell>
          <cell r="I5">
            <v>50502.665101162056</v>
          </cell>
          <cell r="J5">
            <v>31979.81254473946</v>
          </cell>
        </row>
        <row r="6">
          <cell r="B6" t="str">
            <v>Campolongo Maggiore</v>
          </cell>
          <cell r="C6">
            <v>92612.024590090077</v>
          </cell>
          <cell r="D6">
            <v>44300.512195760195</v>
          </cell>
          <cell r="E6">
            <v>80139.674450433202</v>
          </cell>
          <cell r="F6">
            <v>42658.840616056208</v>
          </cell>
          <cell r="G6">
            <v>74966.119822486711</v>
          </cell>
          <cell r="H6">
            <v>40486.44857306093</v>
          </cell>
          <cell r="I6">
            <v>69955.675506357933</v>
          </cell>
          <cell r="J6">
            <v>38158.914353629189</v>
          </cell>
        </row>
        <row r="7">
          <cell r="B7" t="str">
            <v>Camponogara</v>
          </cell>
          <cell r="C7">
            <v>115633.25917694085</v>
          </cell>
          <cell r="D7">
            <v>59069.450772259217</v>
          </cell>
          <cell r="E7">
            <v>96704.278930299537</v>
          </cell>
          <cell r="F7">
            <v>56962.650907990159</v>
          </cell>
          <cell r="G7">
            <v>93991.663266588424</v>
          </cell>
          <cell r="H7">
            <v>54422.267270897246</v>
          </cell>
          <cell r="I7">
            <v>89033.33381279507</v>
          </cell>
          <cell r="J7">
            <v>51457.142931839568</v>
          </cell>
        </row>
        <row r="8">
          <cell r="B8" t="str">
            <v>Cavallino-treporti</v>
          </cell>
          <cell r="C8">
            <v>213855.5134648128</v>
          </cell>
          <cell r="D8">
            <v>94914.831272963667</v>
          </cell>
          <cell r="E8">
            <v>218016.11697808694</v>
          </cell>
          <cell r="F8">
            <v>86247.187375690482</v>
          </cell>
          <cell r="G8">
            <v>184438.42482715004</v>
          </cell>
          <cell r="H8">
            <v>82206.68453950758</v>
          </cell>
          <cell r="I8">
            <v>169404.48147695523</v>
          </cell>
          <cell r="J8">
            <v>86520.48369810688</v>
          </cell>
        </row>
        <row r="9">
          <cell r="B9" t="str">
            <v>Cavarzere</v>
          </cell>
          <cell r="C9">
            <v>113710.69402494724</v>
          </cell>
          <cell r="D9">
            <v>88600.516690505669</v>
          </cell>
          <cell r="E9">
            <v>113640.85491587209</v>
          </cell>
          <cell r="F9">
            <v>83199.094420758192</v>
          </cell>
          <cell r="G9">
            <v>114855.67496924695</v>
          </cell>
          <cell r="H9">
            <v>80710.315820215721</v>
          </cell>
          <cell r="I9">
            <v>104752.91472743775</v>
          </cell>
          <cell r="J9">
            <v>76527.468685777654</v>
          </cell>
        </row>
        <row r="10">
          <cell r="B10" t="str">
            <v>Ceggia</v>
          </cell>
          <cell r="C10">
            <v>31045.076223271146</v>
          </cell>
          <cell r="D10">
            <v>13537.346696310753</v>
          </cell>
          <cell r="E10">
            <v>30111.230323253323</v>
          </cell>
          <cell r="F10">
            <v>11995.602179785534</v>
          </cell>
          <cell r="G10">
            <v>23058.065133619675</v>
          </cell>
          <cell r="H10">
            <v>11651.26687302909</v>
          </cell>
          <cell r="I10">
            <v>25313.245373194379</v>
          </cell>
          <cell r="J10">
            <v>12387.912662887085</v>
          </cell>
        </row>
        <row r="11">
          <cell r="B11" t="str">
            <v>Chioggia</v>
          </cell>
          <cell r="C11">
            <v>598307.79860810656</v>
          </cell>
          <cell r="D11">
            <v>111786.12503974258</v>
          </cell>
          <cell r="E11">
            <v>579925.40525421675</v>
          </cell>
          <cell r="F11">
            <v>80778.353928621116</v>
          </cell>
          <cell r="G11">
            <v>617344.90361310053</v>
          </cell>
          <cell r="H11">
            <v>74604.923392569908</v>
          </cell>
          <cell r="I11">
            <v>611166.74323717551</v>
          </cell>
          <cell r="J11">
            <v>61544.273588817465</v>
          </cell>
        </row>
        <row r="12">
          <cell r="B12" t="str">
            <v>Cona</v>
          </cell>
          <cell r="C12">
            <v>83668.742503834073</v>
          </cell>
          <cell r="D12">
            <v>38365.296808399522</v>
          </cell>
          <cell r="E12">
            <v>83316.36293197432</v>
          </cell>
          <cell r="F12">
            <v>32379.868238695086</v>
          </cell>
          <cell r="G12">
            <v>84425.153791737204</v>
          </cell>
          <cell r="H12">
            <v>27526.848304547122</v>
          </cell>
          <cell r="I12">
            <v>84477.933439848552</v>
          </cell>
          <cell r="J12">
            <v>22274.114125239048</v>
          </cell>
        </row>
        <row r="13">
          <cell r="B13" t="str">
            <v>Dolo</v>
          </cell>
          <cell r="C13">
            <v>227890.88334448222</v>
          </cell>
          <cell r="D13">
            <v>130590.78572964224</v>
          </cell>
          <cell r="E13">
            <v>203814.15237537591</v>
          </cell>
          <cell r="F13">
            <v>123397.08837085152</v>
          </cell>
          <cell r="G13">
            <v>201768.83871892927</v>
          </cell>
          <cell r="H13">
            <v>114999.72913719073</v>
          </cell>
          <cell r="I13">
            <v>193768.16633393225</v>
          </cell>
          <cell r="J13">
            <v>105940.48133578942</v>
          </cell>
        </row>
        <row r="14">
          <cell r="B14" t="str">
            <v>Eraclea</v>
          </cell>
          <cell r="C14">
            <v>142947.98864985973</v>
          </cell>
          <cell r="D14">
            <v>51804.560678630405</v>
          </cell>
          <cell r="E14">
            <v>137906.80246166594</v>
          </cell>
          <cell r="F14">
            <v>44420.734007430641</v>
          </cell>
          <cell r="G14">
            <v>101972.04887652493</v>
          </cell>
          <cell r="H14">
            <v>40840.628129135934</v>
          </cell>
          <cell r="I14">
            <v>105583.94918828845</v>
          </cell>
          <cell r="J14">
            <v>42294.971312386799</v>
          </cell>
        </row>
        <row r="15">
          <cell r="B15" t="str">
            <v>Fiesso d'Artico</v>
          </cell>
          <cell r="C15">
            <v>95550.656205104402</v>
          </cell>
          <cell r="D15">
            <v>34981.028708755111</v>
          </cell>
          <cell r="E15">
            <v>73451.765056837758</v>
          </cell>
          <cell r="F15">
            <v>32589.567256167327</v>
          </cell>
          <cell r="G15">
            <v>71484.120102744186</v>
          </cell>
          <cell r="H15">
            <v>30456.899031715944</v>
          </cell>
          <cell r="I15">
            <v>62273.127287900621</v>
          </cell>
          <cell r="J15">
            <v>28034.864837319241</v>
          </cell>
        </row>
        <row r="16">
          <cell r="B16" t="str">
            <v>Fossalta di Piave</v>
          </cell>
          <cell r="C16">
            <v>97485.549325107102</v>
          </cell>
          <cell r="D16">
            <v>22494.519505896704</v>
          </cell>
          <cell r="E16">
            <v>55837.761623805076</v>
          </cell>
          <cell r="F16">
            <v>16594.549874059969</v>
          </cell>
          <cell r="G16">
            <v>42194.685694987522</v>
          </cell>
          <cell r="H16">
            <v>14007.445224011644</v>
          </cell>
          <cell r="I16">
            <v>39210.623739853792</v>
          </cell>
          <cell r="J16">
            <v>12719.232972380571</v>
          </cell>
        </row>
        <row r="17">
          <cell r="B17" t="str">
            <v>Fossò</v>
          </cell>
          <cell r="C17">
            <v>65676.009702974887</v>
          </cell>
          <cell r="D17">
            <v>34397.923502377169</v>
          </cell>
          <cell r="E17">
            <v>53933.83883748074</v>
          </cell>
          <cell r="F17">
            <v>33123.862585007897</v>
          </cell>
          <cell r="G17">
            <v>53555.709888873804</v>
          </cell>
          <cell r="H17">
            <v>31743.26133497684</v>
          </cell>
          <cell r="I17">
            <v>50871.369829171628</v>
          </cell>
          <cell r="J17">
            <v>30035.407465476892</v>
          </cell>
        </row>
        <row r="18">
          <cell r="B18" t="str">
            <v>Jesolo</v>
          </cell>
          <cell r="C18">
            <v>520195.91182683071</v>
          </cell>
          <cell r="D18">
            <v>217615.82990371587</v>
          </cell>
          <cell r="E18">
            <v>518911.34638337372</v>
          </cell>
          <cell r="F18">
            <v>191870.36289249256</v>
          </cell>
          <cell r="G18">
            <v>608440.69309930457</v>
          </cell>
          <cell r="H18">
            <v>244374.05072170976</v>
          </cell>
          <cell r="I18">
            <v>582062.12300113204</v>
          </cell>
          <cell r="J18">
            <v>243088.40843495043</v>
          </cell>
        </row>
        <row r="19">
          <cell r="B19" t="str">
            <v>Marcon</v>
          </cell>
          <cell r="C19">
            <v>97548.783520773446</v>
          </cell>
          <cell r="D19">
            <v>37911.284414436988</v>
          </cell>
          <cell r="E19">
            <v>83377.154169056754</v>
          </cell>
          <cell r="F19">
            <v>33226.854465962897</v>
          </cell>
          <cell r="G19">
            <v>58731.368464118212</v>
          </cell>
          <cell r="H19">
            <v>34529.583445737946</v>
          </cell>
          <cell r="I19">
            <v>64359.042108201393</v>
          </cell>
          <cell r="J19">
            <v>36445.261788845783</v>
          </cell>
        </row>
        <row r="20">
          <cell r="B20" t="str">
            <v>Martellago</v>
          </cell>
          <cell r="C20">
            <v>149271.77996755127</v>
          </cell>
          <cell r="D20">
            <v>64187.4934899742</v>
          </cell>
          <cell r="E20">
            <v>125276.57432596301</v>
          </cell>
          <cell r="F20">
            <v>61224.262407626346</v>
          </cell>
          <cell r="G20">
            <v>131962.83927712269</v>
          </cell>
          <cell r="H20">
            <v>63053.78717874155</v>
          </cell>
          <cell r="I20">
            <v>129881.32858607982</v>
          </cell>
          <cell r="J20">
            <v>62973.427280296666</v>
          </cell>
        </row>
        <row r="21">
          <cell r="B21" t="str">
            <v>Meolo</v>
          </cell>
          <cell r="C21">
            <v>68793.389280973788</v>
          </cell>
          <cell r="D21">
            <v>29349.672778966578</v>
          </cell>
          <cell r="E21">
            <v>65444.300793110575</v>
          </cell>
          <cell r="F21">
            <v>25494.505970443694</v>
          </cell>
          <cell r="G21">
            <v>61184.519204717413</v>
          </cell>
          <cell r="H21">
            <v>23827.886166204771</v>
          </cell>
          <cell r="I21">
            <v>64758.823302391858</v>
          </cell>
          <cell r="J21">
            <v>22096.743355533014</v>
          </cell>
        </row>
        <row r="22">
          <cell r="B22" t="str">
            <v>Mira</v>
          </cell>
          <cell r="C22">
            <v>521894.07220452896</v>
          </cell>
          <cell r="D22">
            <v>223266.1558443532</v>
          </cell>
          <cell r="E22">
            <v>395400.44738554582</v>
          </cell>
          <cell r="F22">
            <v>206153.53638260151</v>
          </cell>
          <cell r="G22">
            <v>385186.05000317091</v>
          </cell>
          <cell r="H22">
            <v>192278.76041455372</v>
          </cell>
          <cell r="I22">
            <v>339471.29978838062</v>
          </cell>
          <cell r="J22">
            <v>177130.48008245006</v>
          </cell>
        </row>
        <row r="23">
          <cell r="B23" t="str">
            <v>Mirano</v>
          </cell>
          <cell r="C23">
            <v>243526.36370006969</v>
          </cell>
          <cell r="D23">
            <v>147916.02933346067</v>
          </cell>
          <cell r="E23">
            <v>207828.66002411721</v>
          </cell>
          <cell r="F23">
            <v>141133.96912405844</v>
          </cell>
          <cell r="G23">
            <v>221467.57695373931</v>
          </cell>
          <cell r="H23">
            <v>141028.19072958824</v>
          </cell>
          <cell r="I23">
            <v>221831.84976809041</v>
          </cell>
          <cell r="J23">
            <v>137979.78280312652</v>
          </cell>
        </row>
        <row r="24">
          <cell r="B24" t="str">
            <v>Mogliano Veneto</v>
          </cell>
          <cell r="C24">
            <v>426198.54701207735</v>
          </cell>
          <cell r="D24">
            <v>117499.8753678033</v>
          </cell>
          <cell r="E24">
            <v>306979.14443875075</v>
          </cell>
          <cell r="F24">
            <v>93218.377867092131</v>
          </cell>
          <cell r="G24">
            <v>285179.03843713959</v>
          </cell>
          <cell r="H24">
            <v>92700.03613131716</v>
          </cell>
          <cell r="I24">
            <v>306507.70781174116</v>
          </cell>
          <cell r="J24">
            <v>91960.670617527328</v>
          </cell>
        </row>
        <row r="25">
          <cell r="B25" t="str">
            <v>Musile di Piave</v>
          </cell>
          <cell r="C25">
            <v>98535.758698694117</v>
          </cell>
          <cell r="D25">
            <v>37950.37318881863</v>
          </cell>
          <cell r="E25">
            <v>93763.534042377243</v>
          </cell>
          <cell r="F25">
            <v>32251.258659227708</v>
          </cell>
          <cell r="G25">
            <v>71916.295056348637</v>
          </cell>
          <cell r="H25">
            <v>28498.560988753612</v>
          </cell>
          <cell r="I25">
            <v>70113.795103019365</v>
          </cell>
          <cell r="J25">
            <v>27092.995529696796</v>
          </cell>
        </row>
        <row r="26">
          <cell r="B26" t="str">
            <v>Noale</v>
          </cell>
          <cell r="C26">
            <v>133507.56657862815</v>
          </cell>
          <cell r="D26">
            <v>58463.910872984903</v>
          </cell>
          <cell r="E26">
            <v>110966.78752328076</v>
          </cell>
          <cell r="F26">
            <v>55464.37676217276</v>
          </cell>
          <cell r="G26">
            <v>118075.00099963487</v>
          </cell>
          <cell r="H26">
            <v>56701.990141941205</v>
          </cell>
          <cell r="I26">
            <v>116826.5695198894</v>
          </cell>
          <cell r="J26">
            <v>56219.311283160707</v>
          </cell>
        </row>
        <row r="27">
          <cell r="B27" t="str">
            <v>Noventa di Piave</v>
          </cell>
          <cell r="C27">
            <v>41005.232255573486</v>
          </cell>
          <cell r="D27">
            <v>21209.713724040121</v>
          </cell>
          <cell r="E27">
            <v>40356.893852041903</v>
          </cell>
          <cell r="F27">
            <v>18850.923065676569</v>
          </cell>
          <cell r="G27">
            <v>34441.110214472828</v>
          </cell>
          <cell r="H27">
            <v>17730.573727808511</v>
          </cell>
          <cell r="I27">
            <v>36531.52289106878</v>
          </cell>
          <cell r="J27">
            <v>17589.307784960332</v>
          </cell>
        </row>
        <row r="28">
          <cell r="B28" t="str">
            <v>Pianiga</v>
          </cell>
          <cell r="C28">
            <v>98257.944925291784</v>
          </cell>
          <cell r="D28">
            <v>54270.714320975647</v>
          </cell>
          <cell r="E28">
            <v>84257.504075334626</v>
          </cell>
          <cell r="F28">
            <v>52764.187146122909</v>
          </cell>
          <cell r="G28">
            <v>91934.444927021614</v>
          </cell>
          <cell r="H28">
            <v>55340.788128374916</v>
          </cell>
          <cell r="I28">
            <v>95249.767387153261</v>
          </cell>
          <cell r="J28">
            <v>56725.929961880029</v>
          </cell>
        </row>
        <row r="29">
          <cell r="B29" t="str">
            <v>Quarto d'Altino</v>
          </cell>
          <cell r="C29">
            <v>78153.798044387033</v>
          </cell>
          <cell r="D29">
            <v>23828.27136024199</v>
          </cell>
          <cell r="E29">
            <v>65174.331211807708</v>
          </cell>
          <cell r="F29">
            <v>19653.557279696652</v>
          </cell>
          <cell r="G29">
            <v>39374.11176206504</v>
          </cell>
          <cell r="H29">
            <v>18819.643065322285</v>
          </cell>
          <cell r="I29">
            <v>41693.78124972817</v>
          </cell>
          <cell r="J29">
            <v>19162.167785242626</v>
          </cell>
        </row>
        <row r="30">
          <cell r="B30" t="str">
            <v>Salzano</v>
          </cell>
          <cell r="C30">
            <v>115311.77564566016</v>
          </cell>
          <cell r="D30">
            <v>54226.306407020762</v>
          </cell>
          <cell r="E30">
            <v>100491.96110083834</v>
          </cell>
          <cell r="F30">
            <v>53565.068745656979</v>
          </cell>
          <cell r="G30">
            <v>98577.097631316268</v>
          </cell>
          <cell r="H30">
            <v>50839.389625075019</v>
          </cell>
          <cell r="I30">
            <v>91440.885064859991</v>
          </cell>
          <cell r="J30">
            <v>47644.016732634387</v>
          </cell>
        </row>
        <row r="31">
          <cell r="B31" t="str">
            <v>San Donà di Piave</v>
          </cell>
          <cell r="C31">
            <v>530954.68821631791</v>
          </cell>
          <cell r="D31">
            <v>158818.80915976386</v>
          </cell>
          <cell r="E31">
            <v>498098.37375283998</v>
          </cell>
          <cell r="F31">
            <v>129058.85930058893</v>
          </cell>
          <cell r="G31">
            <v>354379.30857405375</v>
          </cell>
          <cell r="H31">
            <v>110093.17425071138</v>
          </cell>
          <cell r="I31">
            <v>353749.01784370857</v>
          </cell>
          <cell r="J31">
            <v>107600.51295915876</v>
          </cell>
        </row>
        <row r="32">
          <cell r="B32" t="str">
            <v>Santa Maria di Sala</v>
          </cell>
          <cell r="C32">
            <v>106408.13903928846</v>
          </cell>
          <cell r="D32">
            <v>59696.043780339314</v>
          </cell>
          <cell r="E32">
            <v>90475.226175644697</v>
          </cell>
          <cell r="F32">
            <v>57722.700349034341</v>
          </cell>
          <cell r="G32">
            <v>96473.724881534363</v>
          </cell>
          <cell r="H32">
            <v>59321.515578239589</v>
          </cell>
          <cell r="I32">
            <v>97034.225139311719</v>
          </cell>
          <cell r="J32">
            <v>59416.878132440885</v>
          </cell>
        </row>
        <row r="33">
          <cell r="B33" t="str">
            <v>Scorzè</v>
          </cell>
          <cell r="C33">
            <v>125420.30531826665</v>
          </cell>
          <cell r="D33">
            <v>73002.260752309478</v>
          </cell>
          <cell r="E33">
            <v>104616.3251631797</v>
          </cell>
          <cell r="F33">
            <v>70475.448046639824</v>
          </cell>
          <cell r="G33">
            <v>112941.64007331192</v>
          </cell>
          <cell r="H33">
            <v>72778.798193552837</v>
          </cell>
          <cell r="I33">
            <v>113448.53512531149</v>
          </cell>
          <cell r="J33">
            <v>73156.751857554569</v>
          </cell>
        </row>
        <row r="34">
          <cell r="B34" t="str">
            <v>Spinea</v>
          </cell>
          <cell r="C34">
            <v>180481.13596643484</v>
          </cell>
          <cell r="D34">
            <v>94114.763447067686</v>
          </cell>
          <cell r="E34">
            <v>160772.70785979251</v>
          </cell>
          <cell r="F34">
            <v>92639.587257247462</v>
          </cell>
          <cell r="G34">
            <v>173111.36552705435</v>
          </cell>
          <cell r="H34">
            <v>95859.022329901272</v>
          </cell>
          <cell r="I34">
            <v>174532.4266849072</v>
          </cell>
          <cell r="J34">
            <v>96210.009837214922</v>
          </cell>
        </row>
        <row r="35">
          <cell r="B35" t="str">
            <v>Stra</v>
          </cell>
          <cell r="C35">
            <v>98271.867812037992</v>
          </cell>
          <cell r="D35">
            <v>38653.348909619279</v>
          </cell>
          <cell r="E35">
            <v>75837.321243947299</v>
          </cell>
          <cell r="F35">
            <v>36439.895360482071</v>
          </cell>
          <cell r="G35">
            <v>72885.995133224977</v>
          </cell>
          <cell r="H35">
            <v>34082.050414015714</v>
          </cell>
          <cell r="I35">
            <v>63310.471373108303</v>
          </cell>
          <cell r="J35">
            <v>31544.500988958484</v>
          </cell>
        </row>
        <row r="36">
          <cell r="B36" t="str">
            <v>Torre di Mosto</v>
          </cell>
          <cell r="C36">
            <v>29287.833341865113</v>
          </cell>
          <cell r="D36">
            <v>11477.097523675913</v>
          </cell>
          <cell r="E36">
            <v>28311.053274705588</v>
          </cell>
          <cell r="F36">
            <v>9940.4432043769539</v>
          </cell>
          <cell r="G36">
            <v>22416.262467739609</v>
          </cell>
          <cell r="H36">
            <v>10310.583640013449</v>
          </cell>
          <cell r="I36">
            <v>23742.364261328723</v>
          </cell>
          <cell r="J36">
            <v>10690.419867295417</v>
          </cell>
        </row>
        <row r="37">
          <cell r="B37" t="str">
            <v>Venezia</v>
          </cell>
          <cell r="C37">
            <v>4048951.6022983477</v>
          </cell>
          <cell r="D37">
            <v>2604594.0189081589</v>
          </cell>
          <cell r="E37">
            <v>3748260.8808395509</v>
          </cell>
          <cell r="F37">
            <v>2449231.2792901313</v>
          </cell>
          <cell r="G37">
            <v>4156164.027086515</v>
          </cell>
          <cell r="H37">
            <v>2580655.2823598213</v>
          </cell>
          <cell r="I37">
            <v>4292679.991432705</v>
          </cell>
          <cell r="J37">
            <v>2666129.1997580826</v>
          </cell>
        </row>
        <row r="38">
          <cell r="B38" t="str">
            <v>Vigonovo</v>
          </cell>
          <cell r="C38">
            <v>95508.795035355724</v>
          </cell>
          <cell r="D38">
            <v>55894.919970793264</v>
          </cell>
          <cell r="E38">
            <v>83255.08103543584</v>
          </cell>
          <cell r="F38">
            <v>54111.685815599376</v>
          </cell>
          <cell r="G38">
            <v>77363.078930150165</v>
          </cell>
          <cell r="H38">
            <v>51801.229413476642</v>
          </cell>
          <cell r="I38">
            <v>72649.663308976102</v>
          </cell>
          <cell r="J38">
            <v>49367.422047250933</v>
          </cell>
        </row>
      </sheetData>
      <sheetData sheetId="36">
        <row r="5">
          <cell r="B5" t="str">
            <v>Campagna Lupia</v>
          </cell>
          <cell r="C5">
            <v>1308.4344262426837</v>
          </cell>
        </row>
        <row r="6">
          <cell r="B6" t="str">
            <v>Campolongo Maggiore</v>
          </cell>
          <cell r="C6">
            <v>1428.0401981382663</v>
          </cell>
        </row>
        <row r="7">
          <cell r="B7" t="str">
            <v>Camponogara</v>
          </cell>
          <cell r="C7">
            <v>1793.9077876837187</v>
          </cell>
        </row>
        <row r="8">
          <cell r="B8" t="str">
            <v>Cavallino-treporti</v>
          </cell>
          <cell r="C8">
            <v>0</v>
          </cell>
        </row>
        <row r="9">
          <cell r="B9" t="str">
            <v>Cavarzere</v>
          </cell>
          <cell r="C9">
            <v>0</v>
          </cell>
        </row>
        <row r="10">
          <cell r="B10" t="str">
            <v>Ceggia</v>
          </cell>
          <cell r="C10">
            <v>0</v>
          </cell>
        </row>
        <row r="11">
          <cell r="B11" t="str">
            <v>Chioggia</v>
          </cell>
          <cell r="C11">
            <v>183080.55961892253</v>
          </cell>
        </row>
        <row r="12">
          <cell r="B12" t="str">
            <v>Cona</v>
          </cell>
          <cell r="C12">
            <v>0</v>
          </cell>
        </row>
        <row r="13">
          <cell r="B13" t="str">
            <v>Dolo</v>
          </cell>
          <cell r="C13">
            <v>2288.5357908148853</v>
          </cell>
        </row>
        <row r="14">
          <cell r="B14" t="str">
            <v>Eraclea</v>
          </cell>
          <cell r="C14">
            <v>0</v>
          </cell>
        </row>
        <row r="15">
          <cell r="B15" t="str">
            <v>Fiesso d'Artico</v>
          </cell>
          <cell r="C15">
            <v>1241.2669697915674</v>
          </cell>
        </row>
        <row r="16">
          <cell r="B16" t="str">
            <v>Fossalta di Piave</v>
          </cell>
          <cell r="C16">
            <v>0</v>
          </cell>
        </row>
        <row r="17">
          <cell r="B17" t="str">
            <v>Fossò</v>
          </cell>
          <cell r="C17">
            <v>1361.3451567980935</v>
          </cell>
        </row>
        <row r="18">
          <cell r="B18" t="str">
            <v>Jesolo</v>
          </cell>
          <cell r="C18">
            <v>0</v>
          </cell>
        </row>
        <row r="19">
          <cell r="B19" t="str">
            <v>Marcon</v>
          </cell>
          <cell r="C19">
            <v>0</v>
          </cell>
        </row>
        <row r="20">
          <cell r="B20" t="str">
            <v>Martellago</v>
          </cell>
          <cell r="C20">
            <v>2962.4684692897031</v>
          </cell>
        </row>
        <row r="21">
          <cell r="B21" t="str">
            <v>Meolo</v>
          </cell>
          <cell r="C21">
            <v>0</v>
          </cell>
        </row>
        <row r="22">
          <cell r="B22" t="str">
            <v>Mira</v>
          </cell>
          <cell r="C22">
            <v>5941.5806702333239</v>
          </cell>
        </row>
        <row r="23">
          <cell r="B23" t="str">
            <v>Mirano</v>
          </cell>
          <cell r="C23">
            <v>4608.4204876248168</v>
          </cell>
        </row>
        <row r="24">
          <cell r="B24" t="str">
            <v>Mogliano Veneto</v>
          </cell>
          <cell r="C24">
            <v>0</v>
          </cell>
        </row>
        <row r="25">
          <cell r="B25" t="str">
            <v>Musile di Piave</v>
          </cell>
          <cell r="C25">
            <v>0</v>
          </cell>
        </row>
        <row r="26">
          <cell r="B26" t="str">
            <v>Noale</v>
          </cell>
          <cell r="C26">
            <v>2810.4631158566131</v>
          </cell>
        </row>
        <row r="27">
          <cell r="B27" t="str">
            <v>Noventa di Piave</v>
          </cell>
          <cell r="C27">
            <v>0</v>
          </cell>
        </row>
        <row r="28">
          <cell r="B28" t="str">
            <v>Pianiga</v>
          </cell>
          <cell r="C28">
            <v>2119.0579823043049</v>
          </cell>
        </row>
        <row r="29">
          <cell r="B29" t="str">
            <v>Quarto d'Altino</v>
          </cell>
          <cell r="C29">
            <v>0</v>
          </cell>
        </row>
        <row r="30">
          <cell r="B30" t="str">
            <v>Salzano</v>
          </cell>
          <cell r="C30">
            <v>1526.1798423337891</v>
          </cell>
        </row>
        <row r="31">
          <cell r="B31" t="str">
            <v>San Donà di Piave</v>
          </cell>
          <cell r="C31">
            <v>0</v>
          </cell>
        </row>
        <row r="32">
          <cell r="B32" t="str">
            <v>Santa Maria di Sala</v>
          </cell>
          <cell r="C32">
            <v>1947.7663945214567</v>
          </cell>
        </row>
        <row r="33">
          <cell r="B33" t="str">
            <v>Scorzè</v>
          </cell>
          <cell r="C33">
            <v>2759.9839357504297</v>
          </cell>
        </row>
        <row r="34">
          <cell r="B34" t="str">
            <v>Spinea</v>
          </cell>
          <cell r="C34">
            <v>4098.2747243220356</v>
          </cell>
        </row>
        <row r="35">
          <cell r="B35" t="str">
            <v>Stra</v>
          </cell>
          <cell r="C35">
            <v>1151.3517490814168</v>
          </cell>
        </row>
        <row r="36">
          <cell r="B36" t="str">
            <v>Torre di Mosto</v>
          </cell>
          <cell r="C36">
            <v>0</v>
          </cell>
        </row>
        <row r="37">
          <cell r="B37" t="str">
            <v>Venezia</v>
          </cell>
          <cell r="C37">
            <v>0</v>
          </cell>
        </row>
        <row r="38">
          <cell r="B38" t="str">
            <v>Vigonovo</v>
          </cell>
          <cell r="C38">
            <v>1606.2717941115579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19"/>
  <sheetViews>
    <sheetView showGridLines="0" topLeftCell="A37" zoomScale="70" zoomScaleNormal="70" zoomScalePageLayoutView="70" workbookViewId="0">
      <selection activeCell="K68" sqref="K68"/>
    </sheetView>
  </sheetViews>
  <sheetFormatPr baseColWidth="10" defaultColWidth="8.83203125" defaultRowHeight="14" outlineLevelCol="1" x14ac:dyDescent="0"/>
  <cols>
    <col min="2" max="2" width="11.5" bestFit="1" customWidth="1"/>
    <col min="3" max="3" width="17.5" bestFit="1" customWidth="1"/>
    <col min="4" max="7" width="12.1640625" customWidth="1" outlineLevel="1"/>
    <col min="8" max="8" width="8.6640625" customWidth="1" outlineLevel="1"/>
    <col min="9" max="12" width="10.83203125" customWidth="1" outlineLevel="1"/>
    <col min="14" max="17" width="10.33203125" customWidth="1"/>
  </cols>
  <sheetData>
    <row r="2" spans="2:17">
      <c r="C2" s="162" t="s">
        <v>119</v>
      </c>
      <c r="D2" s="162">
        <v>2022</v>
      </c>
      <c r="E2" s="162">
        <v>2023</v>
      </c>
      <c r="F2" s="162">
        <v>2024</v>
      </c>
      <c r="G2" s="162">
        <v>2025</v>
      </c>
      <c r="I2" s="162">
        <v>2022</v>
      </c>
      <c r="J2" s="162">
        <v>2023</v>
      </c>
      <c r="K2" s="162">
        <v>2024</v>
      </c>
      <c r="L2" s="162">
        <v>2025</v>
      </c>
      <c r="N2" s="162">
        <v>2022</v>
      </c>
      <c r="O2" s="162">
        <v>2023</v>
      </c>
      <c r="P2" s="162">
        <v>2024</v>
      </c>
      <c r="Q2" s="162">
        <v>2025</v>
      </c>
    </row>
    <row r="3" spans="2:17">
      <c r="B3" s="160" t="s">
        <v>117</v>
      </c>
      <c r="C3" s="161" t="s">
        <v>82</v>
      </c>
      <c r="D3" s="163">
        <f t="array" aca="1" ref="D3" ca="1">IFERROR(INDIRECT("'"&amp;"PEF_"&amp;$C3&amp;"'!d$83"),0)</f>
        <v>857684.73994495929</v>
      </c>
      <c r="E3" s="163">
        <f t="array" aca="1" ref="E3" ca="1">IFERROR(INDIRECT("'"&amp;"PEF_"&amp;$C3&amp;"'!g$83"),0)</f>
        <v>881394.48557092226</v>
      </c>
      <c r="F3" s="163">
        <f t="array" aca="1" ref="F3" ca="1">IFERROR(INDIRECT("'"&amp;"PEF_"&amp;$C3&amp;"'!j$83"),0)</f>
        <v>914658.74651471304</v>
      </c>
      <c r="G3" s="163">
        <f t="array" aca="1" ref="G3" ca="1">IFERROR(INDIRECT("'"&amp;"PEF_"&amp;$C3&amp;"'!m$83"),0)</f>
        <v>891286.60729261267</v>
      </c>
      <c r="I3" s="164">
        <v>857684.7412882864</v>
      </c>
      <c r="J3" s="164">
        <v>881394.48557092203</v>
      </c>
      <c r="K3" s="164">
        <v>914658.74651471304</v>
      </c>
      <c r="L3" s="164">
        <v>891286.60729261255</v>
      </c>
      <c r="N3" s="164">
        <f t="shared" ref="N3:N36" ca="1" si="0">D3-I3</f>
        <v>-1.3433271087706089E-3</v>
      </c>
      <c r="O3" s="164">
        <f t="shared" ref="O3:O36" ca="1" si="1">E3-J3</f>
        <v>0</v>
      </c>
      <c r="P3" s="164">
        <f t="shared" ref="P3:P36" ca="1" si="2">F3-K3</f>
        <v>0</v>
      </c>
      <c r="Q3" s="164">
        <f t="shared" ref="Q3:Q36" ca="1" si="3">G3-L3</f>
        <v>0</v>
      </c>
    </row>
    <row r="4" spans="2:17">
      <c r="B4" s="160" t="s">
        <v>117</v>
      </c>
      <c r="C4" s="161" t="s">
        <v>83</v>
      </c>
      <c r="D4" s="163">
        <f t="array" aca="1" ref="D4" ca="1">IFERROR(INDIRECT("'"&amp;"PEF_"&amp;$C4&amp;"'!d$83"),0)</f>
        <v>1121731.0146130524</v>
      </c>
      <c r="E4" s="163">
        <f t="array" aca="1" ref="E4" ca="1">IFERROR(INDIRECT("'"&amp;"PEF_"&amp;$C4&amp;"'!g$83"),0)</f>
        <v>1173627.8657911732</v>
      </c>
      <c r="F4" s="163">
        <f t="array" aca="1" ref="F4" ca="1">IFERROR(INDIRECT("'"&amp;"PEF_"&amp;$C4&amp;"'!j$83"),0)</f>
        <v>1214879.9211898386</v>
      </c>
      <c r="G4" s="163">
        <f t="array" aca="1" ref="G4" ca="1">IFERROR(INDIRECT("'"&amp;"PEF_"&amp;$C4&amp;"'!m$83"),0)</f>
        <v>1186579.6226542783</v>
      </c>
      <c r="I4" s="164">
        <v>1121731.0146130524</v>
      </c>
      <c r="J4" s="164">
        <v>1173627.8657911732</v>
      </c>
      <c r="K4" s="164">
        <v>1214879.921189839</v>
      </c>
      <c r="L4" s="164">
        <v>1186579.6226542783</v>
      </c>
      <c r="N4" s="164">
        <f t="shared" ca="1" si="0"/>
        <v>0</v>
      </c>
      <c r="O4" s="164">
        <f t="shared" ca="1" si="1"/>
        <v>0</v>
      </c>
      <c r="P4" s="164">
        <f t="shared" ca="1" si="2"/>
        <v>0</v>
      </c>
      <c r="Q4" s="164">
        <f t="shared" ca="1" si="3"/>
        <v>0</v>
      </c>
    </row>
    <row r="5" spans="2:17">
      <c r="B5" s="160" t="s">
        <v>117</v>
      </c>
      <c r="C5" s="161" t="s">
        <v>84</v>
      </c>
      <c r="D5" s="163">
        <f t="array" aca="1" ref="D5" ca="1">IFERROR(INDIRECT("'"&amp;"PEF_"&amp;$C5&amp;"'!d$83"),0)</f>
        <v>1552721.3493797258</v>
      </c>
      <c r="E5" s="163">
        <f t="array" aca="1" ref="E5" ca="1">IFERROR(INDIRECT("'"&amp;"PEF_"&amp;$C5&amp;"'!g$83"),0)</f>
        <v>1596890.3426088318</v>
      </c>
      <c r="F5" s="163">
        <f t="array" aca="1" ref="F5" ca="1">IFERROR(INDIRECT("'"&amp;"PEF_"&amp;$C5&amp;"'!j$83"),0)</f>
        <v>1621268.0969989332</v>
      </c>
      <c r="G5" s="163">
        <f t="array" aca="1" ref="G5" ca="1">IFERROR(INDIRECT("'"&amp;"PEF_"&amp;$C5&amp;"'!m$83"),0)</f>
        <v>1577707.8832060823</v>
      </c>
      <c r="I5" s="164">
        <v>1552721.1864113</v>
      </c>
      <c r="J5" s="164">
        <v>1596890.5055772576</v>
      </c>
      <c r="K5" s="164">
        <v>1621268.0969989332</v>
      </c>
      <c r="L5" s="164">
        <v>1577707.8832060823</v>
      </c>
      <c r="N5" s="164">
        <f t="shared" ca="1" si="0"/>
        <v>0.1629684257786721</v>
      </c>
      <c r="O5" s="164">
        <f t="shared" ca="1" si="1"/>
        <v>-0.1629684257786721</v>
      </c>
      <c r="P5" s="164">
        <f t="shared" ca="1" si="2"/>
        <v>0</v>
      </c>
      <c r="Q5" s="164">
        <f t="shared" ca="1" si="3"/>
        <v>0</v>
      </c>
    </row>
    <row r="6" spans="2:17">
      <c r="B6" s="160" t="s">
        <v>118</v>
      </c>
      <c r="C6" s="161" t="s">
        <v>85</v>
      </c>
      <c r="D6" s="163">
        <f t="array" aca="1" ref="D6" ca="1">IFERROR(INDIRECT("'"&amp;"PEF_"&amp;$C6&amp;"'!d$83"),0)</f>
        <v>4930681.2397526614</v>
      </c>
      <c r="E6" s="163">
        <f t="array" aca="1" ref="E6" ca="1">IFERROR(INDIRECT("'"&amp;"PEF_"&amp;$C6&amp;"'!g$83"),0)</f>
        <v>5182083.5506123649</v>
      </c>
      <c r="F6" s="163">
        <f t="array" aca="1" ref="F6" ca="1">IFERROR(INDIRECT("'"&amp;"PEF_"&amp;$C6&amp;"'!j$83"),0)</f>
        <v>5443712.7422152581</v>
      </c>
      <c r="G6" s="163">
        <f t="array" aca="1" ref="G6" ca="1">IFERROR(INDIRECT("'"&amp;"PEF_"&amp;$C6&amp;"'!m$83"),0)</f>
        <v>5593452.7975923838</v>
      </c>
      <c r="I6" s="164">
        <v>4930681.2397526605</v>
      </c>
      <c r="J6" s="164">
        <v>5182083.550612364</v>
      </c>
      <c r="K6" s="164">
        <v>5443712.7422152571</v>
      </c>
      <c r="L6" s="164">
        <v>5593452.7975923829</v>
      </c>
      <c r="N6" s="164">
        <f t="shared" ca="1" si="0"/>
        <v>0</v>
      </c>
      <c r="O6" s="164">
        <f t="shared" ca="1" si="1"/>
        <v>0</v>
      </c>
      <c r="P6" s="164">
        <f t="shared" ca="1" si="2"/>
        <v>0</v>
      </c>
      <c r="Q6" s="164">
        <f t="shared" ca="1" si="3"/>
        <v>0</v>
      </c>
    </row>
    <row r="7" spans="2:17">
      <c r="B7" s="160" t="s">
        <v>118</v>
      </c>
      <c r="C7" s="161" t="s">
        <v>86</v>
      </c>
      <c r="D7" s="163">
        <f t="array" aca="1" ref="D7" ca="1">IFERROR(INDIRECT("'"&amp;"PEF_"&amp;$C7&amp;"'!d$83"),0)</f>
        <v>1671430.5371141229</v>
      </c>
      <c r="E7" s="163">
        <f t="array" aca="1" ref="E7" ca="1">IFERROR(INDIRECT("'"&amp;"PEF_"&amp;$C7&amp;"'!g$83"),0)</f>
        <v>1781148.8701793724</v>
      </c>
      <c r="F7" s="163">
        <f t="array" aca="1" ref="F7" ca="1">IFERROR(INDIRECT("'"&amp;"PEF_"&amp;$C7&amp;"'!j$83"),0)</f>
        <v>1906062.2368726516</v>
      </c>
      <c r="G7" s="163">
        <f t="array" aca="1" ref="G7" ca="1">IFERROR(INDIRECT("'"&amp;"PEF_"&amp;$C7&amp;"'!m$83"),0)</f>
        <v>2031318.9395907004</v>
      </c>
      <c r="I7" s="164">
        <v>1671430.9325867814</v>
      </c>
      <c r="J7" s="164">
        <v>1781149.6576467846</v>
      </c>
      <c r="K7" s="164">
        <v>1906062.2287851293</v>
      </c>
      <c r="L7" s="164">
        <v>2031318.9395907002</v>
      </c>
      <c r="N7" s="164">
        <f t="shared" ca="1" si="0"/>
        <v>-0.39547265856526792</v>
      </c>
      <c r="O7" s="164">
        <f t="shared" ca="1" si="1"/>
        <v>-0.78746741218492389</v>
      </c>
      <c r="P7" s="164">
        <f t="shared" ca="1" si="2"/>
        <v>8.0875223502516747E-3</v>
      </c>
      <c r="Q7" s="164">
        <f t="shared" ca="1" si="3"/>
        <v>0</v>
      </c>
    </row>
    <row r="8" spans="2:17">
      <c r="B8" s="160" t="s">
        <v>118</v>
      </c>
      <c r="C8" s="161" t="s">
        <v>87</v>
      </c>
      <c r="D8" s="163">
        <f t="array" aca="1" ref="D8" ca="1">IFERROR(INDIRECT("'"&amp;"PEF_"&amp;$C8&amp;"'!d$83"),0)</f>
        <v>571928.30333987088</v>
      </c>
      <c r="E8" s="163">
        <f t="array" aca="1" ref="E8" ca="1">IFERROR(INDIRECT("'"&amp;"PEF_"&amp;$C8&amp;"'!g$83"),0)</f>
        <v>589119.17618675542</v>
      </c>
      <c r="F8" s="163">
        <f t="array" aca="1" ref="F8" ca="1">IFERROR(INDIRECT("'"&amp;"PEF_"&amp;$C8&amp;"'!j$83"),0)</f>
        <v>601049.35572594474</v>
      </c>
      <c r="G8" s="163">
        <f t="array" aca="1" ref="G8" ca="1">IFERROR(INDIRECT("'"&amp;"PEF_"&amp;$C8&amp;"'!m$83"),0)</f>
        <v>608235.9917553775</v>
      </c>
      <c r="I8" s="164">
        <v>571928.303339871</v>
      </c>
      <c r="J8" s="164">
        <v>589119.17618675518</v>
      </c>
      <c r="K8" s="164">
        <v>601049.35572594462</v>
      </c>
      <c r="L8" s="164">
        <v>608235.99175537738</v>
      </c>
      <c r="N8" s="164">
        <f t="shared" ca="1" si="0"/>
        <v>0</v>
      </c>
      <c r="O8" s="164">
        <f t="shared" ca="1" si="1"/>
        <v>0</v>
      </c>
      <c r="P8" s="164">
        <f t="shared" ca="1" si="2"/>
        <v>0</v>
      </c>
      <c r="Q8" s="164">
        <f t="shared" ca="1" si="3"/>
        <v>0</v>
      </c>
    </row>
    <row r="9" spans="2:17">
      <c r="B9" s="160" t="s">
        <v>118</v>
      </c>
      <c r="C9" s="161" t="s">
        <v>88</v>
      </c>
      <c r="D9" s="163">
        <f t="array" aca="1" ref="D9" ca="1">IFERROR(INDIRECT("'"&amp;"PEF_"&amp;$C9&amp;"'!d$83"),0)</f>
        <v>12413817.947113043</v>
      </c>
      <c r="E9" s="163">
        <f t="array" aca="1" ref="E9" ca="1">IFERROR(INDIRECT("'"&amp;"PEF_"&amp;$C9&amp;"'!g$83"),0)</f>
        <v>13009662.863609768</v>
      </c>
      <c r="F9" s="163">
        <f t="array" aca="1" ref="F9" ca="1">IFERROR(INDIRECT("'"&amp;"PEF_"&amp;$C9&amp;"'!j$83"),0)</f>
        <v>13266764.149402644</v>
      </c>
      <c r="G9" s="163">
        <f t="array" aca="1" ref="G9" ca="1">IFERROR(INDIRECT("'"&amp;"PEF_"&amp;$C9&amp;"'!m$83"),0)</f>
        <v>13363414.687972967</v>
      </c>
      <c r="I9" s="164">
        <v>12415538.296892077</v>
      </c>
      <c r="J9" s="164">
        <v>13011381.494757652</v>
      </c>
      <c r="K9" s="164">
        <v>13268482.780550526</v>
      </c>
      <c r="L9" s="164">
        <v>13365133.31912085</v>
      </c>
      <c r="N9" s="164">
        <f t="shared" ca="1" si="0"/>
        <v>-1720.3497790340334</v>
      </c>
      <c r="O9" s="164">
        <f t="shared" ca="1" si="1"/>
        <v>-1718.6311478838325</v>
      </c>
      <c r="P9" s="164">
        <f t="shared" ca="1" si="2"/>
        <v>-1718.6311478819698</v>
      </c>
      <c r="Q9" s="164">
        <f t="shared" ca="1" si="3"/>
        <v>-1718.6311478838325</v>
      </c>
    </row>
    <row r="10" spans="2:17">
      <c r="B10" s="160" t="s">
        <v>118</v>
      </c>
      <c r="C10" s="161" t="s">
        <v>89</v>
      </c>
      <c r="D10" s="163">
        <f t="array" aca="1" ref="D10" ca="1">IFERROR(INDIRECT("'"&amp;"PEF_"&amp;$C10&amp;"'!d$83"),0)</f>
        <v>419635.66517250473</v>
      </c>
      <c r="E10" s="163">
        <f t="array" aca="1" ref="E10" ca="1">IFERROR(INDIRECT("'"&amp;"PEF_"&amp;$C10&amp;"'!g$83"),0)</f>
        <v>439484.44661184226</v>
      </c>
      <c r="F10" s="163">
        <f t="array" aca="1" ref="F10" ca="1">IFERROR(INDIRECT("'"&amp;"PEF_"&amp;$C10&amp;"'!j$83"),0)</f>
        <v>466497.03049172455</v>
      </c>
      <c r="G10" s="163">
        <f t="array" aca="1" ref="G10" ca="1">IFERROR(INDIRECT("'"&amp;"PEF_"&amp;$C10&amp;"'!m$83"),0)</f>
        <v>484335.72196052782</v>
      </c>
      <c r="I10" s="164">
        <v>419635.66517250473</v>
      </c>
      <c r="J10" s="164">
        <v>439484.44661184226</v>
      </c>
      <c r="K10" s="164">
        <v>466497.03049172461</v>
      </c>
      <c r="L10" s="164">
        <v>484335.72196052782</v>
      </c>
      <c r="N10" s="164">
        <f t="shared" ca="1" si="0"/>
        <v>0</v>
      </c>
      <c r="O10" s="164">
        <f t="shared" ca="1" si="1"/>
        <v>0</v>
      </c>
      <c r="P10" s="164">
        <f t="shared" ca="1" si="2"/>
        <v>0</v>
      </c>
      <c r="Q10" s="164">
        <f t="shared" ca="1" si="3"/>
        <v>0</v>
      </c>
    </row>
    <row r="11" spans="2:17">
      <c r="B11" s="160" t="s">
        <v>117</v>
      </c>
      <c r="C11" s="161" t="s">
        <v>90</v>
      </c>
      <c r="D11" s="163">
        <f t="array" aca="1" ref="D11" ca="1">IFERROR(INDIRECT("'"&amp;"PEF_"&amp;$C11&amp;"'!d$83"),0)</f>
        <v>2775222.2659077318</v>
      </c>
      <c r="E11" s="163">
        <f t="array" aca="1" ref="E11" ca="1">IFERROR(INDIRECT("'"&amp;"PEF_"&amp;$C11&amp;"'!g$83"),0)</f>
        <v>2890876.6433650116</v>
      </c>
      <c r="F11" s="163">
        <f t="array" aca="1" ref="F11" ca="1">IFERROR(INDIRECT("'"&amp;"PEF_"&amp;$C11&amp;"'!j$83"),0)</f>
        <v>2848817.1704162373</v>
      </c>
      <c r="G11" s="163">
        <f t="array" aca="1" ref="G11" ca="1">IFERROR(INDIRECT("'"&amp;"PEF_"&amp;$C11&amp;"'!m$83"),0)</f>
        <v>2766682.731479839</v>
      </c>
      <c r="I11" s="164">
        <v>2775222.2659077318</v>
      </c>
      <c r="J11" s="164">
        <v>2890876.6433650125</v>
      </c>
      <c r="K11" s="164">
        <v>2848817.1704162378</v>
      </c>
      <c r="L11" s="164">
        <v>2766682.7314798399</v>
      </c>
      <c r="N11" s="164">
        <f t="shared" ca="1" si="0"/>
        <v>0</v>
      </c>
      <c r="O11" s="164">
        <f t="shared" ca="1" si="1"/>
        <v>0</v>
      </c>
      <c r="P11" s="164">
        <f t="shared" ca="1" si="2"/>
        <v>0</v>
      </c>
      <c r="Q11" s="164">
        <f t="shared" ca="1" si="3"/>
        <v>0</v>
      </c>
    </row>
    <row r="12" spans="2:17">
      <c r="B12" s="160" t="s">
        <v>118</v>
      </c>
      <c r="C12" s="161" t="s">
        <v>91</v>
      </c>
      <c r="D12" s="163">
        <f t="array" aca="1" ref="D12" ca="1">IFERROR(INDIRECT("'"&amp;"PEF_"&amp;$C12&amp;"'!d$83"),0)</f>
        <v>2406967.6741402028</v>
      </c>
      <c r="E12" s="163">
        <f t="array" aca="1" ref="E12" ca="1">IFERROR(INDIRECT("'"&amp;"PEF_"&amp;$C12&amp;"'!g$83"),0)</f>
        <v>2480856.4345268151</v>
      </c>
      <c r="F12" s="163">
        <f t="array" aca="1" ref="F12" ca="1">IFERROR(INDIRECT("'"&amp;"PEF_"&amp;$C12&amp;"'!j$83"),0)</f>
        <v>2452628.2969092559</v>
      </c>
      <c r="G12" s="163">
        <f t="array" aca="1" ref="G12" ca="1">IFERROR(INDIRECT("'"&amp;"PEF_"&amp;$C12&amp;"'!m$83"),0)</f>
        <v>2470546.3216542704</v>
      </c>
      <c r="I12" s="164">
        <v>2406967.6741402028</v>
      </c>
      <c r="J12" s="164">
        <v>2480856.4345268151</v>
      </c>
      <c r="K12" s="164">
        <v>2452628.2969092554</v>
      </c>
      <c r="L12" s="164">
        <v>2470546.3216542699</v>
      </c>
      <c r="N12" s="164">
        <f t="shared" ca="1" si="0"/>
        <v>0</v>
      </c>
      <c r="O12" s="164">
        <f t="shared" ca="1" si="1"/>
        <v>0</v>
      </c>
      <c r="P12" s="164">
        <f t="shared" ca="1" si="2"/>
        <v>0</v>
      </c>
      <c r="Q12" s="164">
        <f t="shared" ca="1" si="3"/>
        <v>0</v>
      </c>
    </row>
    <row r="13" spans="2:17">
      <c r="B13" s="160" t="s">
        <v>117</v>
      </c>
      <c r="C13" s="161" t="s">
        <v>92</v>
      </c>
      <c r="D13" s="163">
        <f t="array" aca="1" ref="D13" ca="1">IFERROR(INDIRECT("'"&amp;"PEF_"&amp;$C13&amp;"'!d$83"),0)</f>
        <v>1155940.5277485</v>
      </c>
      <c r="E13" s="163">
        <f t="array" aca="1" ref="E13" ca="1">IFERROR(INDIRECT("'"&amp;"PEF_"&amp;$C13&amp;"'!g$83"),0)</f>
        <v>1231076.6620521524</v>
      </c>
      <c r="F13" s="163">
        <f t="array" aca="1" ref="F13" ca="1">IFERROR(INDIRECT("'"&amp;"PEF_"&amp;$C13&amp;"'!j$83"),0)</f>
        <v>1311095.8476871345</v>
      </c>
      <c r="G13" s="163">
        <f t="array" aca="1" ref="G13" ca="1">IFERROR(INDIRECT("'"&amp;"PEF_"&amp;$C13&amp;"'!m$83"),0)</f>
        <v>1396317.0777867981</v>
      </c>
      <c r="I13" s="164">
        <v>1155940.277900588</v>
      </c>
      <c r="J13" s="164">
        <v>1231076.4106693845</v>
      </c>
      <c r="K13" s="164">
        <v>1311095.8476871343</v>
      </c>
      <c r="L13" s="164">
        <v>1396317.1894278941</v>
      </c>
      <c r="N13" s="164">
        <f t="shared" ca="1" si="0"/>
        <v>0.24984791199676692</v>
      </c>
      <c r="O13" s="164">
        <f t="shared" ca="1" si="1"/>
        <v>0.25138276792131364</v>
      </c>
      <c r="P13" s="164">
        <f t="shared" ca="1" si="2"/>
        <v>0</v>
      </c>
      <c r="Q13" s="164">
        <f t="shared" ca="1" si="3"/>
        <v>-0.11164109595119953</v>
      </c>
    </row>
    <row r="14" spans="2:17">
      <c r="B14" s="160" t="s">
        <v>117</v>
      </c>
      <c r="C14" s="161" t="s">
        <v>93</v>
      </c>
      <c r="D14" s="163">
        <f t="array" aca="1" ref="D14" ca="1">IFERROR(INDIRECT("'"&amp;"PEF_"&amp;$C14&amp;"'!d$83"),0)</f>
        <v>526204.737525751</v>
      </c>
      <c r="E14" s="163">
        <f t="array" aca="1" ref="E14" ca="1">IFERROR(INDIRECT("'"&amp;"PEF_"&amp;$C14&amp;"'!g$83"),0)</f>
        <v>515822.33090014535</v>
      </c>
      <c r="F14" s="163">
        <f t="array" aca="1" ref="F14" ca="1">IFERROR(INDIRECT("'"&amp;"PEF_"&amp;$C14&amp;"'!j$83"),0)</f>
        <v>461268.7905112236</v>
      </c>
      <c r="G14" s="163">
        <f t="array" aca="1" ref="G14" ca="1">IFERROR(INDIRECT("'"&amp;"PEF_"&amp;$C14&amp;"'!m$83"),0)</f>
        <v>434357.98755445878</v>
      </c>
      <c r="I14" s="164">
        <v>526204.73752575112</v>
      </c>
      <c r="J14" s="164">
        <v>515822.33090014535</v>
      </c>
      <c r="K14" s="164">
        <v>461268.79051122355</v>
      </c>
      <c r="L14" s="164">
        <v>434357.98755445878</v>
      </c>
      <c r="N14" s="164">
        <f t="shared" ca="1" si="0"/>
        <v>0</v>
      </c>
      <c r="O14" s="164">
        <f t="shared" ca="1" si="1"/>
        <v>0</v>
      </c>
      <c r="P14" s="164">
        <f t="shared" ca="1" si="2"/>
        <v>0</v>
      </c>
      <c r="Q14" s="164">
        <f t="shared" ca="1" si="3"/>
        <v>0</v>
      </c>
    </row>
    <row r="15" spans="2:17">
      <c r="B15" s="160" t="s">
        <v>117</v>
      </c>
      <c r="C15" s="161" t="s">
        <v>94</v>
      </c>
      <c r="D15" s="163">
        <f t="array" aca="1" ref="D15" ca="1">IFERROR(INDIRECT("'"&amp;"PEF_"&amp;$C15&amp;"'!d$83"),0)</f>
        <v>909892.14595708321</v>
      </c>
      <c r="E15" s="163">
        <f t="array" aca="1" ref="E15" ca="1">IFERROR(INDIRECT("'"&amp;"PEF_"&amp;$C15&amp;"'!g$83"),0)</f>
        <v>969035.13544429361</v>
      </c>
      <c r="F15" s="163">
        <f t="array" aca="1" ref="F15" ca="1">IFERROR(INDIRECT("'"&amp;"PEF_"&amp;$C15&amp;"'!j$83"),0)</f>
        <v>1032021.8456470433</v>
      </c>
      <c r="G15" s="163">
        <f t="array" aca="1" ref="G15" ca="1">IFERROR(INDIRECT("'"&amp;"PEF_"&amp;$C15&amp;"'!m$83"),0)</f>
        <v>1017353.4117178412</v>
      </c>
      <c r="I15" s="164">
        <v>909891.8766143804</v>
      </c>
      <c r="J15" s="164">
        <v>969034.65746428131</v>
      </c>
      <c r="K15" s="164">
        <v>1032021.8456470431</v>
      </c>
      <c r="L15" s="164">
        <v>1017353.4117178408</v>
      </c>
      <c r="N15" s="164">
        <f t="shared" ca="1" si="0"/>
        <v>0.26934270281344652</v>
      </c>
      <c r="O15" s="164">
        <f t="shared" ca="1" si="1"/>
        <v>0.47798001230694354</v>
      </c>
      <c r="P15" s="164">
        <f t="shared" ca="1" si="2"/>
        <v>0</v>
      </c>
      <c r="Q15" s="164">
        <f t="shared" ca="1" si="3"/>
        <v>0</v>
      </c>
    </row>
    <row r="16" spans="2:17">
      <c r="B16" s="160" t="s">
        <v>118</v>
      </c>
      <c r="C16" s="161" t="s">
        <v>95</v>
      </c>
      <c r="D16" s="163">
        <f t="array" aca="1" ref="D16" ca="1">IFERROR(INDIRECT("'"&amp;"PEF_"&amp;$C16&amp;"'!d$83"),0)</f>
        <v>10454855.712028785</v>
      </c>
      <c r="E16" s="163">
        <f t="array" aca="1" ref="E16" ca="1">IFERROR(INDIRECT("'"&amp;"PEF_"&amp;$C16&amp;"'!g$83"),0)</f>
        <v>10926689.084555963</v>
      </c>
      <c r="F16" s="163">
        <f t="array" aca="1" ref="F16" ca="1">IFERROR(INDIRECT("'"&amp;"PEF_"&amp;$C16&amp;"'!j$83"),0)</f>
        <v>11246983.728519693</v>
      </c>
      <c r="G16" s="163">
        <f t="array" aca="1" ref="G16" ca="1">IFERROR(INDIRECT("'"&amp;"PEF_"&amp;$C16&amp;"'!m$83"),0)</f>
        <v>11402578.992434498</v>
      </c>
      <c r="I16" s="164">
        <v>10454855.712028787</v>
      </c>
      <c r="J16" s="164">
        <v>10926689.084555959</v>
      </c>
      <c r="K16" s="164">
        <v>11246983.728519689</v>
      </c>
      <c r="L16" s="164">
        <v>11402578.992434492</v>
      </c>
      <c r="N16" s="164">
        <f t="shared" ca="1" si="0"/>
        <v>0</v>
      </c>
      <c r="O16" s="164">
        <f t="shared" ca="1" si="1"/>
        <v>0</v>
      </c>
      <c r="P16" s="164">
        <f t="shared" ca="1" si="2"/>
        <v>0</v>
      </c>
      <c r="Q16" s="164">
        <f t="shared" ca="1" si="3"/>
        <v>0</v>
      </c>
    </row>
    <row r="17" spans="2:17">
      <c r="B17" s="160" t="s">
        <v>117</v>
      </c>
      <c r="C17" s="161" t="s">
        <v>96</v>
      </c>
      <c r="D17" s="163">
        <f t="array" aca="1" ref="D17" ca="1">IFERROR(INDIRECT("'"&amp;"PEF_"&amp;$C17&amp;"'!d$83"),0)</f>
        <v>2513351.45173366</v>
      </c>
      <c r="E17" s="163">
        <f t="array" aca="1" ref="E17" ca="1">IFERROR(INDIRECT("'"&amp;"PEF_"&amp;$C17&amp;"'!g$83"),0)</f>
        <v>2551658.6418525907</v>
      </c>
      <c r="F17" s="163">
        <f t="array" aca="1" ref="F17" ca="1">IFERROR(INDIRECT("'"&amp;"PEF_"&amp;$C17&amp;"'!j$83"),0)</f>
        <v>2598724.6727932557</v>
      </c>
      <c r="G17" s="163">
        <f t="array" aca="1" ref="G17" ca="1">IFERROR(INDIRECT("'"&amp;"PEF_"&amp;$C17&amp;"'!m$83"),0)</f>
        <v>2644982.6817804468</v>
      </c>
      <c r="I17" s="164">
        <v>2513351.5443894272</v>
      </c>
      <c r="J17" s="164">
        <v>2551658.6418525903</v>
      </c>
      <c r="K17" s="164">
        <v>2598724.6727932557</v>
      </c>
      <c r="L17" s="164">
        <v>2644982.6817804468</v>
      </c>
      <c r="N17" s="164">
        <f t="shared" ca="1" si="0"/>
        <v>-9.2655767221003771E-2</v>
      </c>
      <c r="O17" s="164">
        <f t="shared" ca="1" si="1"/>
        <v>0</v>
      </c>
      <c r="P17" s="164">
        <f t="shared" ca="1" si="2"/>
        <v>0</v>
      </c>
      <c r="Q17" s="164">
        <f t="shared" ca="1" si="3"/>
        <v>0</v>
      </c>
    </row>
    <row r="18" spans="2:17">
      <c r="B18" s="160" t="s">
        <v>118</v>
      </c>
      <c r="C18" s="161" t="s">
        <v>97</v>
      </c>
      <c r="D18" s="163">
        <f t="array" aca="1" ref="D18" ca="1">IFERROR(INDIRECT("'"&amp;"PEF_"&amp;$C18&amp;"'!d$83"),0)</f>
        <v>2470749.3146594209</v>
      </c>
      <c r="E18" s="163">
        <f t="array" aca="1" ref="E18" ca="1">IFERROR(INDIRECT("'"&amp;"PEF_"&amp;$C18&amp;"'!g$83"),0)</f>
        <v>2538166.3439283003</v>
      </c>
      <c r="F18" s="163">
        <f t="array" aca="1" ref="F18" ca="1">IFERROR(INDIRECT("'"&amp;"PEF_"&amp;$C18&amp;"'!j$83"),0)</f>
        <v>2503801.8019382767</v>
      </c>
      <c r="G18" s="163">
        <f t="array" aca="1" ref="G18" ca="1">IFERROR(INDIRECT("'"&amp;"PEF_"&amp;$C18&amp;"'!m$83"),0)</f>
        <v>2468995.1673487891</v>
      </c>
      <c r="I18" s="164">
        <v>2477905.363538486</v>
      </c>
      <c r="J18" s="164">
        <v>2573404.8826460443</v>
      </c>
      <c r="K18" s="164">
        <v>2539040.3406560211</v>
      </c>
      <c r="L18" s="164">
        <v>2469233.706066533</v>
      </c>
      <c r="N18" s="164">
        <f t="shared" ca="1" si="0"/>
        <v>-7156.0488790650852</v>
      </c>
      <c r="O18" s="164">
        <f t="shared" ca="1" si="1"/>
        <v>-35238.538717743941</v>
      </c>
      <c r="P18" s="164">
        <f t="shared" ca="1" si="2"/>
        <v>-35238.538717744406</v>
      </c>
      <c r="Q18" s="164">
        <f t="shared" ca="1" si="3"/>
        <v>-238.53871774394065</v>
      </c>
    </row>
    <row r="19" spans="2:17">
      <c r="B19" s="160" t="s">
        <v>117</v>
      </c>
      <c r="C19" s="161" t="s">
        <v>98</v>
      </c>
      <c r="D19" s="163">
        <f t="array" aca="1" ref="D19" ca="1">IFERROR(INDIRECT("'"&amp;"PEF_"&amp;$C19&amp;"'!d$83"),0)</f>
        <v>808908.57006165665</v>
      </c>
      <c r="E19" s="163">
        <f t="array" aca="1" ref="E19" ca="1">IFERROR(INDIRECT("'"&amp;"PEF_"&amp;$C19&amp;"'!g$83"),0)</f>
        <v>862296.39192093443</v>
      </c>
      <c r="F19" s="163">
        <f t="array" aca="1" ref="F19" ca="1">IFERROR(INDIRECT("'"&amp;"PEF_"&amp;$C19&amp;"'!j$83"),0)</f>
        <v>919208.07279190258</v>
      </c>
      <c r="G19" s="163">
        <f t="array" aca="1" ref="G19" ca="1">IFERROR(INDIRECT("'"&amp;"PEF_"&amp;$C19&amp;"'!m$83"),0)</f>
        <v>979875.57882890524</v>
      </c>
      <c r="I19" s="164">
        <v>808908.73895866319</v>
      </c>
      <c r="J19" s="164">
        <v>862296.39192093443</v>
      </c>
      <c r="K19" s="164">
        <v>919208.07279190258</v>
      </c>
      <c r="L19" s="164">
        <v>979875.57882890524</v>
      </c>
      <c r="N19" s="164">
        <f t="shared" ca="1" si="0"/>
        <v>-0.16889700654428452</v>
      </c>
      <c r="O19" s="164">
        <f t="shared" ca="1" si="1"/>
        <v>0</v>
      </c>
      <c r="P19" s="164">
        <f t="shared" ca="1" si="2"/>
        <v>0</v>
      </c>
      <c r="Q19" s="164">
        <f t="shared" ca="1" si="3"/>
        <v>0</v>
      </c>
    </row>
    <row r="20" spans="2:17">
      <c r="B20" s="160" t="s">
        <v>117</v>
      </c>
      <c r="C20" s="161" t="s">
        <v>99</v>
      </c>
      <c r="D20" s="163">
        <f t="array" aca="1" ref="D20" ca="1">IFERROR(INDIRECT("'"&amp;"PEF_"&amp;$C20&amp;"'!d$83"),0)</f>
        <v>5792162.0153015638</v>
      </c>
      <c r="E20" s="163">
        <f t="array" aca="1" ref="E20" ca="1">IFERROR(INDIRECT("'"&amp;"PEF_"&amp;$C20&amp;"'!g$83"),0)</f>
        <v>6109967.0769499782</v>
      </c>
      <c r="F20" s="163">
        <f t="array" aca="1" ref="F20" ca="1">IFERROR(INDIRECT("'"&amp;"PEF_"&amp;$C20&amp;"'!j$83"),0)</f>
        <v>6176942.5904563349</v>
      </c>
      <c r="G20" s="163">
        <f t="array" aca="1" ref="G20" ca="1">IFERROR(INDIRECT("'"&amp;"PEF_"&amp;$C20&amp;"'!m$83"),0)</f>
        <v>6008136.1099094413</v>
      </c>
      <c r="I20" s="164">
        <v>5792162.0153015647</v>
      </c>
      <c r="J20" s="164">
        <v>6109967.0769499801</v>
      </c>
      <c r="K20" s="164">
        <v>6176942.5904563367</v>
      </c>
      <c r="L20" s="164">
        <v>6008136.1099094432</v>
      </c>
      <c r="N20" s="164">
        <f t="shared" ca="1" si="0"/>
        <v>0</v>
      </c>
      <c r="O20" s="164">
        <f t="shared" ca="1" si="1"/>
        <v>0</v>
      </c>
      <c r="P20" s="164">
        <f t="shared" ca="1" si="2"/>
        <v>0</v>
      </c>
      <c r="Q20" s="164">
        <f t="shared" ca="1" si="3"/>
        <v>0</v>
      </c>
    </row>
    <row r="21" spans="2:17">
      <c r="B21" s="160" t="s">
        <v>117</v>
      </c>
      <c r="C21" s="161" t="s">
        <v>100</v>
      </c>
      <c r="D21" s="163">
        <f t="array" aca="1" ref="D21" ca="1">IFERROR(INDIRECT("'"&amp;"PEF_"&amp;$C21&amp;"'!d$83"),0)</f>
        <v>3510856.0168301752</v>
      </c>
      <c r="E21" s="163">
        <f t="array" aca="1" ref="E21" ca="1">IFERROR(INDIRECT("'"&amp;"PEF_"&amp;$C21&amp;"'!g$83"),0)</f>
        <v>3543205.2042394336</v>
      </c>
      <c r="F21" s="163">
        <f t="array" aca="1" ref="F21" ca="1">IFERROR(INDIRECT("'"&amp;"PEF_"&amp;$C21&amp;"'!j$83"),0)</f>
        <v>3553685.266727292</v>
      </c>
      <c r="G21" s="163">
        <f t="array" aca="1" ref="G21" ca="1">IFERROR(INDIRECT("'"&amp;"PEF_"&amp;$C21&amp;"'!m$83"),0)</f>
        <v>3495485.793365181</v>
      </c>
      <c r="I21" s="164">
        <v>3515645.0092068189</v>
      </c>
      <c r="J21" s="164">
        <v>3547989.4124079081</v>
      </c>
      <c r="K21" s="164">
        <v>3558469.4748957665</v>
      </c>
      <c r="L21" s="164">
        <v>3500270.0015336559</v>
      </c>
      <c r="N21" s="164">
        <f t="shared" ca="1" si="0"/>
        <v>-4788.9923766436987</v>
      </c>
      <c r="O21" s="164">
        <f t="shared" ca="1" si="1"/>
        <v>-4784.2081684744917</v>
      </c>
      <c r="P21" s="164">
        <f t="shared" ca="1" si="2"/>
        <v>-4784.2081684744917</v>
      </c>
      <c r="Q21" s="164">
        <f t="shared" ca="1" si="3"/>
        <v>-4784.2081684749573</v>
      </c>
    </row>
    <row r="22" spans="2:17">
      <c r="B22" s="160" t="s">
        <v>118</v>
      </c>
      <c r="C22" s="161" t="s">
        <v>101</v>
      </c>
      <c r="D22" s="163">
        <f t="array" aca="1" ref="D22" ca="1">IFERROR(INDIRECT("'"&amp;"PEF_"&amp;$C22&amp;"'!d$83"),0)</f>
        <v>3940016.310566132</v>
      </c>
      <c r="E22" s="163">
        <f t="array" aca="1" ref="E22" ca="1">IFERROR(INDIRECT("'"&amp;"PEF_"&amp;$C22&amp;"'!g$83"),0)</f>
        <v>4028516.5227614767</v>
      </c>
      <c r="F22" s="163">
        <f t="array" aca="1" ref="F22" ca="1">IFERROR(INDIRECT("'"&amp;"PEF_"&amp;$C22&amp;"'!j$83"),0)</f>
        <v>3926226.9454285987</v>
      </c>
      <c r="G22" s="163">
        <f t="array" aca="1" ref="G22" ca="1">IFERROR(INDIRECT("'"&amp;"PEF_"&amp;$C22&amp;"'!m$83"),0)</f>
        <v>3906346.9334144103</v>
      </c>
      <c r="I22" s="164">
        <v>3940016.3105661315</v>
      </c>
      <c r="J22" s="164">
        <v>4028516.5227614772</v>
      </c>
      <c r="K22" s="164">
        <v>3926226.9454285991</v>
      </c>
      <c r="L22" s="164">
        <v>3906346.9334144108</v>
      </c>
      <c r="N22" s="164">
        <f t="shared" ca="1" si="0"/>
        <v>0</v>
      </c>
      <c r="O22" s="164">
        <f t="shared" ca="1" si="1"/>
        <v>0</v>
      </c>
      <c r="P22" s="164">
        <f t="shared" ca="1" si="2"/>
        <v>0</v>
      </c>
      <c r="Q22" s="164">
        <f t="shared" ca="1" si="3"/>
        <v>0</v>
      </c>
    </row>
    <row r="23" spans="2:17">
      <c r="B23" s="160" t="s">
        <v>118</v>
      </c>
      <c r="C23" s="161" t="s">
        <v>102</v>
      </c>
      <c r="D23" s="163">
        <f t="array" aca="1" ref="D23" ca="1">IFERROR(INDIRECT("'"&amp;"PEF_"&amp;$C23&amp;"'!d$83"),0)</f>
        <v>1201547.7098714826</v>
      </c>
      <c r="E23" s="163">
        <f t="array" aca="1" ref="E23" ca="1">IFERROR(INDIRECT("'"&amp;"PEF_"&amp;$C23&amp;"'!g$83"),0)</f>
        <v>1202958.0944128856</v>
      </c>
      <c r="F23" s="163">
        <f t="array" aca="1" ref="F23" ca="1">IFERROR(INDIRECT("'"&amp;"PEF_"&amp;$C23&amp;"'!j$83"),0)</f>
        <v>1211026.1722968263</v>
      </c>
      <c r="G23" s="163">
        <f t="array" aca="1" ref="G23" ca="1">IFERROR(INDIRECT("'"&amp;"PEF_"&amp;$C23&amp;"'!m$83"),0)</f>
        <v>1214045.9778844402</v>
      </c>
      <c r="I23" s="164">
        <v>1201547.7098714826</v>
      </c>
      <c r="J23" s="164">
        <v>1202958.0944128858</v>
      </c>
      <c r="K23" s="164">
        <v>1211026.1722968265</v>
      </c>
      <c r="L23" s="164">
        <v>1214045.9778844404</v>
      </c>
      <c r="N23" s="164">
        <f t="shared" ca="1" si="0"/>
        <v>0</v>
      </c>
      <c r="O23" s="164">
        <f t="shared" ca="1" si="1"/>
        <v>0</v>
      </c>
      <c r="P23" s="164">
        <f t="shared" ca="1" si="2"/>
        <v>0</v>
      </c>
      <c r="Q23" s="164">
        <f t="shared" ca="1" si="3"/>
        <v>0</v>
      </c>
    </row>
    <row r="24" spans="2:17">
      <c r="B24" s="160" t="s">
        <v>118</v>
      </c>
      <c r="C24" s="161" t="s">
        <v>103</v>
      </c>
      <c r="D24" s="163">
        <f t="array" aca="1" ref="D24" ca="1">IFERROR(INDIRECT("'"&amp;"PEF_"&amp;$C24&amp;"'!d$83"),0)</f>
        <v>2030167.5120441476</v>
      </c>
      <c r="E24" s="163">
        <f t="array" aca="1" ref="E24" ca="1">IFERROR(INDIRECT("'"&amp;"PEF_"&amp;$C24&amp;"'!g$83"),0)</f>
        <v>2065463.8957562761</v>
      </c>
      <c r="F24" s="163">
        <f t="array" aca="1" ref="F24" ca="1">IFERROR(INDIRECT("'"&amp;"PEF_"&amp;$C24&amp;"'!j$83"),0)</f>
        <v>2110636.8409188171</v>
      </c>
      <c r="G24" s="163">
        <f t="array" aca="1" ref="G24" ca="1">IFERROR(INDIRECT("'"&amp;"PEF_"&amp;$C24&amp;"'!m$83"),0)</f>
        <v>2113905.7305802908</v>
      </c>
      <c r="I24" s="164">
        <v>2029152.5120441478</v>
      </c>
      <c r="J24" s="164">
        <v>2059448.8957562759</v>
      </c>
      <c r="K24" s="164">
        <v>2110636.8409188166</v>
      </c>
      <c r="L24" s="164">
        <v>2098905.7305802908</v>
      </c>
      <c r="N24" s="164">
        <f t="shared" ca="1" si="0"/>
        <v>1014.9999999997672</v>
      </c>
      <c r="O24" s="164">
        <f t="shared" ca="1" si="1"/>
        <v>6015.0000000002328</v>
      </c>
      <c r="P24" s="164">
        <f t="shared" ca="1" si="2"/>
        <v>0</v>
      </c>
      <c r="Q24" s="164">
        <f t="shared" ca="1" si="3"/>
        <v>15000</v>
      </c>
    </row>
    <row r="25" spans="2:17">
      <c r="B25" s="160" t="s">
        <v>118</v>
      </c>
      <c r="C25" s="161" t="s">
        <v>104</v>
      </c>
      <c r="D25" s="163">
        <f t="array" aca="1" ref="D25" ca="1">IFERROR(INDIRECT("'"&amp;"PEF_"&amp;$C25&amp;"'!d$83"),0)</f>
        <v>782610.60381305846</v>
      </c>
      <c r="E25" s="163">
        <f t="array" aca="1" ref="E25" ca="1">IFERROR(INDIRECT("'"&amp;"PEF_"&amp;$C25&amp;"'!g$83"),0)</f>
        <v>766664.76127143227</v>
      </c>
      <c r="F25" s="163">
        <f t="array" aca="1" ref="F25" ca="1">IFERROR(INDIRECT("'"&amp;"PEF_"&amp;$C25&amp;"'!j$83"),0)</f>
        <v>755867.01328947302</v>
      </c>
      <c r="G25" s="163">
        <f t="array" aca="1" ref="G25" ca="1">IFERROR(INDIRECT("'"&amp;"PEF_"&amp;$C25&amp;"'!m$83"),0)</f>
        <v>770280.60002322076</v>
      </c>
      <c r="I25" s="164">
        <v>782610.60381305835</v>
      </c>
      <c r="J25" s="164">
        <v>766664.76127143239</v>
      </c>
      <c r="K25" s="164">
        <v>755867.01328947325</v>
      </c>
      <c r="L25" s="164">
        <v>770280.60002322099</v>
      </c>
      <c r="N25" s="164">
        <f t="shared" ca="1" si="0"/>
        <v>0</v>
      </c>
      <c r="O25" s="164">
        <f t="shared" ca="1" si="1"/>
        <v>0</v>
      </c>
      <c r="P25" s="164">
        <f t="shared" ca="1" si="2"/>
        <v>0</v>
      </c>
      <c r="Q25" s="164">
        <f t="shared" ca="1" si="3"/>
        <v>0</v>
      </c>
    </row>
    <row r="26" spans="2:17">
      <c r="B26" s="160" t="s">
        <v>118</v>
      </c>
      <c r="C26" s="161" t="s">
        <v>105</v>
      </c>
      <c r="D26" s="163">
        <f t="array" aca="1" ref="D26" ca="1">IFERROR(INDIRECT("'"&amp;"PEF_"&amp;$C26&amp;"'!d$83"),0)</f>
        <v>1588993.5936819715</v>
      </c>
      <c r="E26" s="163">
        <f t="array" aca="1" ref="E26" ca="1">IFERROR(INDIRECT("'"&amp;"PEF_"&amp;$C26&amp;"'!g$83"),0)</f>
        <v>1696997.5089579336</v>
      </c>
      <c r="F26" s="163">
        <f t="array" aca="1" ref="F26" ca="1">IFERROR(INDIRECT("'"&amp;"PEF_"&amp;$C26&amp;"'!j$83"),0)</f>
        <v>1810843.2078076261</v>
      </c>
      <c r="G26" s="163">
        <f t="array" aca="1" ref="G26" ca="1">IFERROR(INDIRECT("'"&amp;"PEF_"&amp;$C26&amp;"'!m$83"),0)</f>
        <v>1871169.6947262627</v>
      </c>
      <c r="I26" s="164">
        <v>1593979.3027728808</v>
      </c>
      <c r="J26" s="164">
        <v>1701983.763503388</v>
      </c>
      <c r="K26" s="164">
        <v>1810843.2078076256</v>
      </c>
      <c r="L26" s="164">
        <v>1871169.6947262625</v>
      </c>
      <c r="N26" s="164">
        <f t="shared" ca="1" si="0"/>
        <v>-4985.7090909092221</v>
      </c>
      <c r="O26" s="164">
        <f t="shared" ca="1" si="1"/>
        <v>-4986.2545454544015</v>
      </c>
      <c r="P26" s="164">
        <f t="shared" ca="1" si="2"/>
        <v>0</v>
      </c>
      <c r="Q26" s="164">
        <f t="shared" ca="1" si="3"/>
        <v>0</v>
      </c>
    </row>
    <row r="27" spans="2:17">
      <c r="B27" s="160" t="s">
        <v>117</v>
      </c>
      <c r="C27" s="161" t="s">
        <v>106</v>
      </c>
      <c r="D27" s="163">
        <f t="array" aca="1" ref="D27" ca="1">IFERROR(INDIRECT("'"&amp;"PEF_"&amp;$C27&amp;"'!d$83"),0)</f>
        <v>1262698.2631800007</v>
      </c>
      <c r="E27" s="163">
        <f t="array" aca="1" ref="E27" ca="1">IFERROR(INDIRECT("'"&amp;"PEF_"&amp;$C27&amp;"'!g$83"),0)</f>
        <v>1344773.6502867006</v>
      </c>
      <c r="F27" s="163">
        <f t="array" aca="1" ref="F27" ca="1">IFERROR(INDIRECT("'"&amp;"PEF_"&amp;$C27&amp;"'!j$83"),0)</f>
        <v>1432183.9375553359</v>
      </c>
      <c r="G27" s="163">
        <f t="array" aca="1" ref="G27" ca="1">IFERROR(INDIRECT("'"&amp;"PEF_"&amp;$C27&amp;"'!m$83"),0)</f>
        <v>1523996.7608763136</v>
      </c>
      <c r="I27" s="164">
        <v>1262698.7545158833</v>
      </c>
      <c r="J27" s="164">
        <v>1344773.7259738583</v>
      </c>
      <c r="K27" s="164">
        <v>1432184.3940437303</v>
      </c>
      <c r="L27" s="164">
        <v>1523996.7608763138</v>
      </c>
      <c r="N27" s="164">
        <f t="shared" ca="1" si="0"/>
        <v>-0.49133588257245719</v>
      </c>
      <c r="O27" s="164">
        <f t="shared" ca="1" si="1"/>
        <v>-7.568715768866241E-2</v>
      </c>
      <c r="P27" s="164">
        <f t="shared" ca="1" si="2"/>
        <v>-0.45648839441128075</v>
      </c>
      <c r="Q27" s="164">
        <f t="shared" ca="1" si="3"/>
        <v>0</v>
      </c>
    </row>
    <row r="28" spans="2:17">
      <c r="B28" s="160" t="s">
        <v>117</v>
      </c>
      <c r="C28" s="161" t="s">
        <v>107</v>
      </c>
      <c r="D28" s="163">
        <f t="array" aca="1" ref="D28" ca="1">IFERROR(INDIRECT("'"&amp;"PEF_"&amp;$C28&amp;"'!d$83"),0)</f>
        <v>1588983.5988071701</v>
      </c>
      <c r="E28" s="163">
        <f t="array" aca="1" ref="E28" ca="1">IFERROR(INDIRECT("'"&amp;"PEF_"&amp;$C28&amp;"'!g$83"),0)</f>
        <v>1660182.5134045975</v>
      </c>
      <c r="F28" s="163">
        <f t="array" aca="1" ref="F28" ca="1">IFERROR(INDIRECT("'"&amp;"PEF_"&amp;$C28&amp;"'!j$83"),0)</f>
        <v>1747922.4371681984</v>
      </c>
      <c r="G28" s="163">
        <f t="array" aca="1" ref="G28" ca="1">IFERROR(INDIRECT("'"&amp;"PEF_"&amp;$C28&amp;"'!m$83"),0)</f>
        <v>1750338.9648343015</v>
      </c>
      <c r="I28" s="164">
        <v>1588983.5988071698</v>
      </c>
      <c r="J28" s="164">
        <v>1660182.5134045971</v>
      </c>
      <c r="K28" s="164">
        <v>1747922.4371681982</v>
      </c>
      <c r="L28" s="164">
        <v>1750338.964834301</v>
      </c>
      <c r="N28" s="164">
        <f t="shared" ca="1" si="0"/>
        <v>0</v>
      </c>
      <c r="O28" s="164">
        <f t="shared" ca="1" si="1"/>
        <v>0</v>
      </c>
      <c r="P28" s="164">
        <f t="shared" ca="1" si="2"/>
        <v>0</v>
      </c>
      <c r="Q28" s="164">
        <f t="shared" ca="1" si="3"/>
        <v>0</v>
      </c>
    </row>
    <row r="29" spans="2:17">
      <c r="B29" s="160" t="s">
        <v>117</v>
      </c>
      <c r="C29" s="161" t="s">
        <v>108</v>
      </c>
      <c r="D29" s="163">
        <f t="array" aca="1" ref="D29" ca="1">IFERROR(INDIRECT("'"&amp;"PEF_"&amp;$C29&amp;"'!d$83"),0)</f>
        <v>6196446.9959018752</v>
      </c>
      <c r="E29" s="163">
        <f t="array" aca="1" ref="E29" ca="1">IFERROR(INDIRECT("'"&amp;"PEF_"&amp;$C29&amp;"'!g$83"),0)</f>
        <v>6605412.4975694353</v>
      </c>
      <c r="F29" s="163">
        <f t="array" aca="1" ref="F29" ca="1">IFERROR(INDIRECT("'"&amp;"PEF_"&amp;$C29&amp;"'!j$83"),0)</f>
        <v>7041369.7223429643</v>
      </c>
      <c r="G29" s="163">
        <f t="array" aca="1" ref="G29" ca="1">IFERROR(INDIRECT("'"&amp;"PEF_"&amp;$C29&amp;"'!m$83"),0)</f>
        <v>7506100.3906366173</v>
      </c>
      <c r="I29" s="164">
        <v>6196447.2662679972</v>
      </c>
      <c r="J29" s="164">
        <v>6605412.5865520202</v>
      </c>
      <c r="K29" s="164">
        <v>7041370.1037835153</v>
      </c>
      <c r="L29" s="164">
        <v>7506100.3906366173</v>
      </c>
      <c r="N29" s="164">
        <f t="shared" ca="1" si="0"/>
        <v>-0.27036612201482058</v>
      </c>
      <c r="O29" s="164">
        <f t="shared" ca="1" si="1"/>
        <v>-8.898258488625288E-2</v>
      </c>
      <c r="P29" s="164">
        <f t="shared" ca="1" si="2"/>
        <v>-0.38144055102020502</v>
      </c>
      <c r="Q29" s="164">
        <f t="shared" ca="1" si="3"/>
        <v>0</v>
      </c>
    </row>
    <row r="30" spans="2:17">
      <c r="B30" s="160" t="s">
        <v>117</v>
      </c>
      <c r="C30" s="161" t="s">
        <v>109</v>
      </c>
      <c r="D30" s="163">
        <f t="array" aca="1" ref="D30" ca="1">IFERROR(INDIRECT("'"&amp;"PEF_"&amp;$C30&amp;"'!d$83"),0)</f>
        <v>1942263.5964860623</v>
      </c>
      <c r="E30" s="163">
        <f t="array" aca="1" ref="E30" ca="1">IFERROR(INDIRECT("'"&amp;"PEF_"&amp;$C30&amp;"'!g$83"),0)</f>
        <v>1967388.4410354611</v>
      </c>
      <c r="F30" s="163">
        <f t="array" aca="1" ref="F30" ca="1">IFERROR(INDIRECT("'"&amp;"PEF_"&amp;$C30&amp;"'!j$83"),0)</f>
        <v>2097236.0781241278</v>
      </c>
      <c r="G30" s="163">
        <f t="array" aca="1" ref="G30" ca="1">IFERROR(INDIRECT("'"&amp;"PEF_"&amp;$C30&amp;"'!m$83"),0)</f>
        <v>2231487.6532692108</v>
      </c>
      <c r="I30" s="164">
        <v>1942462.1631930016</v>
      </c>
      <c r="J30" s="164">
        <v>1967586.8093740614</v>
      </c>
      <c r="K30" s="164">
        <v>2095480.1081708325</v>
      </c>
      <c r="L30" s="164">
        <v>2231686.0216078116</v>
      </c>
      <c r="N30" s="164">
        <f t="shared" ca="1" si="0"/>
        <v>-198.56670693936758</v>
      </c>
      <c r="O30" s="164">
        <f t="shared" ca="1" si="1"/>
        <v>-198.36833860026672</v>
      </c>
      <c r="P30" s="164">
        <f t="shared" ca="1" si="2"/>
        <v>1755.9699532953091</v>
      </c>
      <c r="Q30" s="164">
        <f t="shared" ca="1" si="3"/>
        <v>-198.36833860073239</v>
      </c>
    </row>
    <row r="31" spans="2:17">
      <c r="B31" s="160" t="s">
        <v>118</v>
      </c>
      <c r="C31" s="161" t="s">
        <v>110</v>
      </c>
      <c r="D31" s="163">
        <f t="array" aca="1" ref="D31" ca="1">IFERROR(INDIRECT("'"&amp;"PEF_"&amp;$C31&amp;"'!d$83"),0)</f>
        <v>2203026.3977394202</v>
      </c>
      <c r="E31" s="163">
        <f t="array" aca="1" ref="E31" ca="1">IFERROR(INDIRECT("'"&amp;"PEF_"&amp;$C31&amp;"'!g$83"),0)</f>
        <v>2285038.0658628037</v>
      </c>
      <c r="F31" s="163">
        <f t="array" aca="1" ref="F31" ca="1">IFERROR(INDIRECT("'"&amp;"PEF_"&amp;$C31&amp;"'!j$83"),0)</f>
        <v>2273099.5292773619</v>
      </c>
      <c r="G31" s="163">
        <f t="array" aca="1" ref="G31" ca="1">IFERROR(INDIRECT("'"&amp;"PEF_"&amp;$C31&amp;"'!m$83"),0)</f>
        <v>2232568.4137433632</v>
      </c>
      <c r="I31" s="164">
        <v>2203301.7344176397</v>
      </c>
      <c r="J31" s="164">
        <v>2285313.1274794075</v>
      </c>
      <c r="K31" s="164">
        <v>2273374.5908939661</v>
      </c>
      <c r="L31" s="164">
        <v>2232843.475359967</v>
      </c>
      <c r="N31" s="164">
        <f t="shared" ca="1" si="0"/>
        <v>-275.33667821949348</v>
      </c>
      <c r="O31" s="164">
        <f t="shared" ca="1" si="1"/>
        <v>-275.06161660375074</v>
      </c>
      <c r="P31" s="164">
        <f t="shared" ca="1" si="2"/>
        <v>-275.0616166042164</v>
      </c>
      <c r="Q31" s="164">
        <f t="shared" ca="1" si="3"/>
        <v>-275.06161660375074</v>
      </c>
    </row>
    <row r="32" spans="2:17">
      <c r="B32" s="160" t="s">
        <v>118</v>
      </c>
      <c r="C32" s="161" t="s">
        <v>111</v>
      </c>
      <c r="D32" s="163">
        <f t="array" aca="1" ref="D32" ca="1">IFERROR(INDIRECT("'"&amp;"PEF_"&amp;$C32&amp;"'!d$83"),0)</f>
        <v>3006762.0995774567</v>
      </c>
      <c r="E32" s="163">
        <f t="array" aca="1" ref="E32" ca="1">IFERROR(INDIRECT("'"&amp;"PEF_"&amp;$C32&amp;"'!g$83"),0)</f>
        <v>3102878.2113490389</v>
      </c>
      <c r="F32" s="163">
        <f t="array" aca="1" ref="F32" ca="1">IFERROR(INDIRECT("'"&amp;"PEF_"&amp;$C32&amp;"'!j$83"),0)</f>
        <v>3090184.4242128502</v>
      </c>
      <c r="G32" s="163">
        <f t="array" aca="1" ref="G32" ca="1">IFERROR(INDIRECT("'"&amp;"PEF_"&amp;$C32&amp;"'!m$83"),0)</f>
        <v>3089926.1520030168</v>
      </c>
      <c r="I32" s="164">
        <v>3006993.3061750606</v>
      </c>
      <c r="J32" s="164">
        <v>3103109.18697102</v>
      </c>
      <c r="K32" s="164">
        <v>3090415.3998348317</v>
      </c>
      <c r="L32" s="164">
        <v>3090157.1276249979</v>
      </c>
      <c r="N32" s="164">
        <f t="shared" ca="1" si="0"/>
        <v>-231.20659760385752</v>
      </c>
      <c r="O32" s="164">
        <f t="shared" ca="1" si="1"/>
        <v>-230.97562198108062</v>
      </c>
      <c r="P32" s="164">
        <f t="shared" ca="1" si="2"/>
        <v>-230.97562198154628</v>
      </c>
      <c r="Q32" s="164">
        <f t="shared" ca="1" si="3"/>
        <v>-230.97562198108062</v>
      </c>
    </row>
    <row r="33" spans="2:17">
      <c r="B33" s="160" t="s">
        <v>117</v>
      </c>
      <c r="C33" s="161" t="s">
        <v>112</v>
      </c>
      <c r="D33" s="163">
        <f t="array" aca="1" ref="D33" ca="1">IFERROR(INDIRECT("'"&amp;"PEF_"&amp;$C33&amp;"'!d$83"),0)</f>
        <v>1074183.5356774512</v>
      </c>
      <c r="E33" s="163">
        <f t="array" aca="1" ref="E33" ca="1">IFERROR(INDIRECT("'"&amp;"PEF_"&amp;$C33&amp;"'!g$83"),0)</f>
        <v>1116955.4097177009</v>
      </c>
      <c r="F33" s="163">
        <f t="array" aca="1" ref="F33" ca="1">IFERROR(INDIRECT("'"&amp;"PEF_"&amp;$C33&amp;"'!j$83"),0)</f>
        <v>1162024.5340523287</v>
      </c>
      <c r="G33" s="163">
        <f t="array" aca="1" ref="G33" ca="1">IFERROR(INDIRECT("'"&amp;"PEF_"&amp;$C33&amp;"'!m$83"),0)</f>
        <v>1209346.4846171548</v>
      </c>
      <c r="I33" s="164">
        <v>1074183.5356774509</v>
      </c>
      <c r="J33" s="164">
        <v>1115613.4097177009</v>
      </c>
      <c r="K33" s="164">
        <v>1162024.5340523289</v>
      </c>
      <c r="L33" s="164">
        <v>1202263.4846171548</v>
      </c>
      <c r="N33" s="164">
        <f t="shared" ca="1" si="0"/>
        <v>0</v>
      </c>
      <c r="O33" s="164">
        <f t="shared" ca="1" si="1"/>
        <v>1342</v>
      </c>
      <c r="P33" s="164">
        <f t="shared" ca="1" si="2"/>
        <v>0</v>
      </c>
      <c r="Q33" s="164">
        <f t="shared" ca="1" si="3"/>
        <v>7083</v>
      </c>
    </row>
    <row r="34" spans="2:17">
      <c r="B34" s="160" t="s">
        <v>118</v>
      </c>
      <c r="C34" s="161" t="s">
        <v>113</v>
      </c>
      <c r="D34" s="163">
        <f t="array" aca="1" ref="D34" ca="1">IFERROR(INDIRECT("'"&amp;"PEF_"&amp;$C34&amp;"'!d$83"),0)</f>
        <v>547620.59178481752</v>
      </c>
      <c r="E34" s="163">
        <f t="array" aca="1" ref="E34" ca="1">IFERROR(INDIRECT("'"&amp;"PEF_"&amp;$C34&amp;"'!g$83"),0)</f>
        <v>565167.38866062264</v>
      </c>
      <c r="F34" s="163">
        <f t="array" aca="1" ref="F34" ca="1">IFERROR(INDIRECT("'"&amp;"PEF_"&amp;$C34&amp;"'!j$83"),0)</f>
        <v>562923.96397974005</v>
      </c>
      <c r="G34" s="163">
        <f t="array" aca="1" ref="G34" ca="1">IFERROR(INDIRECT("'"&amp;"PEF_"&amp;$C34&amp;"'!m$83"),0)</f>
        <v>558544.72700061114</v>
      </c>
      <c r="I34" s="164">
        <v>550043.59178481728</v>
      </c>
      <c r="J34" s="164">
        <v>565167.38866062276</v>
      </c>
      <c r="K34" s="164">
        <v>562923.96397974028</v>
      </c>
      <c r="L34" s="164">
        <v>558544.72700061125</v>
      </c>
      <c r="N34" s="164">
        <f t="shared" ca="1" si="0"/>
        <v>-2422.9999999997672</v>
      </c>
      <c r="O34" s="164">
        <f t="shared" ca="1" si="1"/>
        <v>0</v>
      </c>
      <c r="P34" s="164">
        <f t="shared" ca="1" si="2"/>
        <v>0</v>
      </c>
      <c r="Q34" s="164">
        <f t="shared" ca="1" si="3"/>
        <v>0</v>
      </c>
    </row>
    <row r="35" spans="2:17">
      <c r="B35" s="160" t="s">
        <v>118</v>
      </c>
      <c r="C35" s="161" t="s">
        <v>114</v>
      </c>
      <c r="D35" s="163">
        <f t="array" aca="1" ref="D35" ca="1">IFERROR(INDIRECT("'"&amp;"PEF_"&amp;$C35&amp;"'!d$83"),0)</f>
        <v>91147901.423636615</v>
      </c>
      <c r="E35" s="163">
        <f t="array" aca="1" ref="E35" ca="1">IFERROR(INDIRECT("'"&amp;"PEF_"&amp;$C35&amp;"'!g$83"),0)</f>
        <v>93104275.420598641</v>
      </c>
      <c r="F35" s="163">
        <f t="array" aca="1" ref="F35" ca="1">IFERROR(INDIRECT("'"&amp;"PEF_"&amp;$C35&amp;"'!j$83"),0)</f>
        <v>93699463.569915295</v>
      </c>
      <c r="G35" s="163">
        <f t="array" aca="1" ref="G35" ca="1">IFERROR(INDIRECT("'"&amp;"PEF_"&amp;$C35&amp;"'!m$83"),0)</f>
        <v>94303243.451659739</v>
      </c>
      <c r="I35" s="164">
        <v>91154147.75809662</v>
      </c>
      <c r="J35" s="164">
        <v>93110515.120181486</v>
      </c>
      <c r="K35" s="164">
        <v>93705703.145697311</v>
      </c>
      <c r="L35" s="164">
        <v>94309483.404861525</v>
      </c>
      <c r="N35" s="164">
        <f t="shared" ca="1" si="0"/>
        <v>-6246.3344600051641</v>
      </c>
      <c r="O35" s="164">
        <f t="shared" ca="1" si="1"/>
        <v>-6239.6995828449726</v>
      </c>
      <c r="P35" s="164">
        <f t="shared" ca="1" si="2"/>
        <v>-6239.5757820159197</v>
      </c>
      <c r="Q35" s="164">
        <f t="shared" ca="1" si="3"/>
        <v>-6239.9532017856836</v>
      </c>
    </row>
    <row r="36" spans="2:17">
      <c r="B36" s="160" t="s">
        <v>117</v>
      </c>
      <c r="C36" s="161" t="s">
        <v>115</v>
      </c>
      <c r="D36" s="163">
        <f t="array" aca="1" ref="D36" ca="1">IFERROR(INDIRECT("'"&amp;"PEF_"&amp;$C36&amp;"'!d$83"),0)</f>
        <v>1358279.0052081996</v>
      </c>
      <c r="E36" s="163">
        <f t="array" aca="1" ref="E36" ca="1">IFERROR(INDIRECT("'"&amp;"PEF_"&amp;$C36&amp;"'!g$83"),0)</f>
        <v>1446567.1405467326</v>
      </c>
      <c r="F36" s="163">
        <f t="array" aca="1" ref="F36" ca="1">IFERROR(INDIRECT("'"&amp;"PEF_"&amp;$C36&amp;"'!j$83"),0)</f>
        <v>1540593.5232440876</v>
      </c>
      <c r="G36" s="163">
        <f t="array" aca="1" ref="G36" ca="1">IFERROR(INDIRECT("'"&amp;"PEF_"&amp;$C36&amp;"'!m$83"),0)</f>
        <v>1587663.2324902159</v>
      </c>
      <c r="I36" s="164">
        <v>1358278.9278480052</v>
      </c>
      <c r="J36" s="164">
        <v>1446566.9264748695</v>
      </c>
      <c r="K36" s="164">
        <v>1540593.5232440876</v>
      </c>
      <c r="L36" s="164">
        <v>1587663.2324902157</v>
      </c>
      <c r="N36" s="164">
        <f t="shared" ca="1" si="0"/>
        <v>7.7360194409266114E-2</v>
      </c>
      <c r="O36" s="164">
        <f t="shared" ca="1" si="1"/>
        <v>0.21407186309807003</v>
      </c>
      <c r="P36" s="164">
        <f t="shared" ca="1" si="2"/>
        <v>0</v>
      </c>
      <c r="Q36" s="164">
        <f t="shared" ca="1" si="3"/>
        <v>0</v>
      </c>
    </row>
    <row r="38" spans="2:17">
      <c r="C38" s="162" t="s">
        <v>119</v>
      </c>
      <c r="D38" s="162">
        <v>2022</v>
      </c>
      <c r="E38" s="162">
        <v>2023</v>
      </c>
      <c r="F38" s="162">
        <v>2024</v>
      </c>
      <c r="G38" s="162">
        <v>2025</v>
      </c>
      <c r="I38" s="162">
        <v>2022</v>
      </c>
      <c r="J38" s="162">
        <v>2023</v>
      </c>
      <c r="K38" s="162">
        <v>2024</v>
      </c>
      <c r="L38" s="162">
        <v>2025</v>
      </c>
      <c r="N38" s="162">
        <v>2022</v>
      </c>
      <c r="O38" s="162">
        <v>2023</v>
      </c>
      <c r="P38" s="162">
        <v>2024</v>
      </c>
      <c r="Q38" s="162">
        <v>2025</v>
      </c>
    </row>
    <row r="39" spans="2:17">
      <c r="B39" s="160" t="s">
        <v>117</v>
      </c>
      <c r="C39" s="161" t="s">
        <v>82</v>
      </c>
      <c r="D39" s="163">
        <f t="array" aca="1" ref="D39" ca="1">IFERROR(INDIRECT("'"&amp;"PEF_"&amp;$C39&amp;"'!e$83"),0)</f>
        <v>0</v>
      </c>
      <c r="E39" s="163">
        <f t="array" aca="1" ref="E39" ca="1">IFERROR(INDIRECT("'"&amp;"PEF_"&amp;$C39&amp;"'!h$83"),0)</f>
        <v>0</v>
      </c>
      <c r="F39" s="163">
        <f t="array" aca="1" ref="F39" ca="1">IFERROR(INDIRECT("'"&amp;"PEF_"&amp;$C39&amp;"'!k$83"),0)</f>
        <v>0</v>
      </c>
      <c r="G39" s="163">
        <f t="array" aca="1" ref="G39" ca="1">IFERROR(INDIRECT("'"&amp;"PEF_"&amp;$C39&amp;"'!n$83"),0)</f>
        <v>0</v>
      </c>
      <c r="I39" s="164">
        <v>0</v>
      </c>
      <c r="J39" s="164">
        <v>0</v>
      </c>
      <c r="K39" s="164">
        <v>0</v>
      </c>
      <c r="L39" s="164">
        <v>0</v>
      </c>
      <c r="N39" s="164">
        <f t="shared" ref="N39:N72" ca="1" si="4">D39-I39</f>
        <v>0</v>
      </c>
      <c r="O39" s="164">
        <f t="shared" ref="O39:O72" ca="1" si="5">E39-J39</f>
        <v>0</v>
      </c>
      <c r="P39" s="164">
        <f t="shared" ref="P39:P72" ca="1" si="6">F39-K39</f>
        <v>0</v>
      </c>
      <c r="Q39" s="164">
        <f t="shared" ref="Q39:Q72" ca="1" si="7">G39-L39</f>
        <v>0</v>
      </c>
    </row>
    <row r="40" spans="2:17">
      <c r="B40" s="160" t="s">
        <v>117</v>
      </c>
      <c r="C40" s="161" t="s">
        <v>83</v>
      </c>
      <c r="D40" s="163">
        <f t="array" aca="1" ref="D40" ca="1">IFERROR(INDIRECT("'"&amp;"PEF_"&amp;$C40&amp;"'!e$83"),0)</f>
        <v>0</v>
      </c>
      <c r="E40" s="163">
        <f t="array" aca="1" ref="E40" ca="1">IFERROR(INDIRECT("'"&amp;"PEF_"&amp;$C40&amp;"'!h$83"),0)</f>
        <v>0</v>
      </c>
      <c r="F40" s="163">
        <f t="array" aca="1" ref="F40" ca="1">IFERROR(INDIRECT("'"&amp;"PEF_"&amp;$C40&amp;"'!k$83"),0)</f>
        <v>0</v>
      </c>
      <c r="G40" s="163">
        <f t="array" aca="1" ref="G40" ca="1">IFERROR(INDIRECT("'"&amp;"PEF_"&amp;$C40&amp;"'!n$83"),0)</f>
        <v>0</v>
      </c>
      <c r="I40" s="164">
        <v>0</v>
      </c>
      <c r="J40" s="164">
        <v>0</v>
      </c>
      <c r="K40" s="164">
        <v>0</v>
      </c>
      <c r="L40" s="164">
        <v>0</v>
      </c>
      <c r="N40" s="164">
        <f t="shared" ca="1" si="4"/>
        <v>0</v>
      </c>
      <c r="O40" s="164">
        <f t="shared" ca="1" si="5"/>
        <v>0</v>
      </c>
      <c r="P40" s="164">
        <f t="shared" ca="1" si="6"/>
        <v>0</v>
      </c>
      <c r="Q40" s="164">
        <f t="shared" ca="1" si="7"/>
        <v>0</v>
      </c>
    </row>
    <row r="41" spans="2:17">
      <c r="B41" s="160" t="s">
        <v>117</v>
      </c>
      <c r="C41" s="161" t="s">
        <v>84</v>
      </c>
      <c r="D41" s="163">
        <f t="array" aca="1" ref="D41" ca="1">IFERROR(INDIRECT("'"&amp;"PEF_"&amp;$C41&amp;"'!e$83"),0)</f>
        <v>0</v>
      </c>
      <c r="E41" s="163">
        <f t="array" aca="1" ref="E41" ca="1">IFERROR(INDIRECT("'"&amp;"PEF_"&amp;$C41&amp;"'!h$83"),0)</f>
        <v>0</v>
      </c>
      <c r="F41" s="163">
        <f t="array" aca="1" ref="F41" ca="1">IFERROR(INDIRECT("'"&amp;"PEF_"&amp;$C41&amp;"'!k$83"),0)</f>
        <v>0</v>
      </c>
      <c r="G41" s="163">
        <f t="array" aca="1" ref="G41" ca="1">IFERROR(INDIRECT("'"&amp;"PEF_"&amp;$C41&amp;"'!n$83"),0)</f>
        <v>0</v>
      </c>
      <c r="I41" s="164">
        <v>0</v>
      </c>
      <c r="J41" s="164">
        <v>0</v>
      </c>
      <c r="K41" s="164">
        <v>0</v>
      </c>
      <c r="L41" s="164">
        <v>0</v>
      </c>
      <c r="N41" s="164">
        <f t="shared" ca="1" si="4"/>
        <v>0</v>
      </c>
      <c r="O41" s="164">
        <f t="shared" ca="1" si="5"/>
        <v>0</v>
      </c>
      <c r="P41" s="164">
        <f t="shared" ca="1" si="6"/>
        <v>0</v>
      </c>
      <c r="Q41" s="164">
        <f t="shared" ca="1" si="7"/>
        <v>0</v>
      </c>
    </row>
    <row r="42" spans="2:17">
      <c r="B42" s="160" t="s">
        <v>118</v>
      </c>
      <c r="C42" s="161" t="s">
        <v>85</v>
      </c>
      <c r="D42" s="163">
        <f t="array" aca="1" ref="D42" ca="1">IFERROR(INDIRECT("'"&amp;"PEF_"&amp;$C42&amp;"'!e$83"),0)</f>
        <v>500965.32397526607</v>
      </c>
      <c r="E42" s="163">
        <f t="array" aca="1" ref="E42" ca="1">IFERROR(INDIRECT("'"&amp;"PEF_"&amp;$C42&amp;"'!h$83"),0)</f>
        <v>526105.35506123654</v>
      </c>
      <c r="F42" s="163">
        <f t="array" aca="1" ref="F42" ca="1">IFERROR(INDIRECT("'"&amp;"PEF_"&amp;$C42&amp;"'!k$83"),0)</f>
        <v>552268.27422152588</v>
      </c>
      <c r="G42" s="163">
        <f t="array" aca="1" ref="G42" ca="1">IFERROR(INDIRECT("'"&amp;"PEF_"&amp;$C42&amp;"'!n$83"),0)</f>
        <v>567242.27975923836</v>
      </c>
      <c r="I42" s="164">
        <v>500965.32397526607</v>
      </c>
      <c r="J42" s="164">
        <v>526105.35506123642</v>
      </c>
      <c r="K42" s="164">
        <v>552268.27422152576</v>
      </c>
      <c r="L42" s="164">
        <v>567242.27975923836</v>
      </c>
      <c r="N42" s="164">
        <f t="shared" ca="1" si="4"/>
        <v>0</v>
      </c>
      <c r="O42" s="164">
        <f t="shared" ca="1" si="5"/>
        <v>0</v>
      </c>
      <c r="P42" s="164">
        <f t="shared" ca="1" si="6"/>
        <v>0</v>
      </c>
      <c r="Q42" s="164">
        <f t="shared" ca="1" si="7"/>
        <v>0</v>
      </c>
    </row>
    <row r="43" spans="2:17">
      <c r="B43" s="160" t="s">
        <v>118</v>
      </c>
      <c r="C43" s="161" t="s">
        <v>86</v>
      </c>
      <c r="D43" s="163">
        <f t="array" aca="1" ref="D43" ca="1">IFERROR(INDIRECT("'"&amp;"PEF_"&amp;$C43&amp;"'!e$83"),0)</f>
        <v>313468.00325587817</v>
      </c>
      <c r="E43" s="163">
        <f t="array" aca="1" ref="E43" ca="1">IFERROR(INDIRECT("'"&amp;"PEF_"&amp;$C43&amp;"'!h$83"),0)</f>
        <v>332768.07531467848</v>
      </c>
      <c r="F43" s="163">
        <f t="array" aca="1" ref="F43" ca="1">IFERROR(INDIRECT("'"&amp;"PEF_"&amp;$C43&amp;"'!k$83"),0)</f>
        <v>345259.31007851288</v>
      </c>
      <c r="G43" s="163">
        <f t="array" aca="1" ref="G43" ca="1">IFERROR(INDIRECT("'"&amp;"PEF_"&amp;$C43&amp;"'!n$83"),0)</f>
        <v>366338.05915907002</v>
      </c>
      <c r="I43" s="164">
        <v>313468.00325587817</v>
      </c>
      <c r="J43" s="164">
        <v>332768.07531467843</v>
      </c>
      <c r="K43" s="164">
        <v>345259.28927851294</v>
      </c>
      <c r="L43" s="164">
        <v>366338.03835907002</v>
      </c>
      <c r="N43" s="164">
        <f t="shared" ca="1" si="4"/>
        <v>0</v>
      </c>
      <c r="O43" s="164">
        <f t="shared" ca="1" si="5"/>
        <v>0</v>
      </c>
      <c r="P43" s="164">
        <f t="shared" ca="1" si="6"/>
        <v>2.0799999940209091E-2</v>
      </c>
      <c r="Q43" s="164">
        <f t="shared" ca="1" si="7"/>
        <v>2.0799999998416752E-2</v>
      </c>
    </row>
    <row r="44" spans="2:17">
      <c r="B44" s="160" t="s">
        <v>118</v>
      </c>
      <c r="C44" s="161" t="s">
        <v>87</v>
      </c>
      <c r="D44" s="163">
        <f t="array" aca="1" ref="D44" ca="1">IFERROR(INDIRECT("'"&amp;"PEF_"&amp;$C44&amp;"'!e$83"),0)</f>
        <v>190568.23708248706</v>
      </c>
      <c r="E44" s="163">
        <f t="array" aca="1" ref="E44" ca="1">IFERROR(INDIRECT("'"&amp;"PEF_"&amp;$C44&amp;"'!h$83"),0)</f>
        <v>192629.10731867555</v>
      </c>
      <c r="F44" s="163">
        <f t="array" aca="1" ref="F44" ca="1">IFERROR(INDIRECT("'"&amp;"PEF_"&amp;$C44&amp;"'!k$83"),0)</f>
        <v>193822.41024417171</v>
      </c>
      <c r="G44" s="163">
        <f t="array" aca="1" ref="G44" ca="1">IFERROR(INDIRECT("'"&amp;"PEF_"&amp;$C44&amp;"'!n$83"),0)</f>
        <v>194541.07384711498</v>
      </c>
      <c r="I44" s="164">
        <v>190568.47708248711</v>
      </c>
      <c r="J44" s="164">
        <v>192629.34731867554</v>
      </c>
      <c r="K44" s="164">
        <v>193822.41024417171</v>
      </c>
      <c r="L44" s="164">
        <v>194541.07384711498</v>
      </c>
      <c r="N44" s="164">
        <f t="shared" ca="1" si="4"/>
        <v>-0.24000000004889444</v>
      </c>
      <c r="O44" s="164">
        <f t="shared" ca="1" si="5"/>
        <v>-0.23999999999068677</v>
      </c>
      <c r="P44" s="164">
        <f t="shared" ca="1" si="6"/>
        <v>0</v>
      </c>
      <c r="Q44" s="164">
        <f t="shared" ca="1" si="7"/>
        <v>0</v>
      </c>
    </row>
    <row r="45" spans="2:17">
      <c r="B45" s="160" t="s">
        <v>118</v>
      </c>
      <c r="C45" s="161" t="s">
        <v>88</v>
      </c>
      <c r="D45" s="163">
        <f t="array" aca="1" ref="D45" ca="1">IFERROR(INDIRECT("'"&amp;"PEF_"&amp;$C45&amp;"'!e$83"),0)</f>
        <v>3145203.0965773039</v>
      </c>
      <c r="E45" s="163">
        <f t="array" aca="1" ref="E45" ca="1">IFERROR(INDIRECT("'"&amp;"PEF_"&amp;$C45&amp;"'!h$83"),0)</f>
        <v>3302226.5041109771</v>
      </c>
      <c r="F45" s="163">
        <f t="array" aca="1" ref="F45" ca="1">IFERROR(INDIRECT("'"&amp;"PEF_"&amp;$C45&amp;"'!k$83"),0)</f>
        <v>3443827.2196902647</v>
      </c>
      <c r="G45" s="163">
        <f t="array" aca="1" ref="G45" ca="1">IFERROR(INDIRECT("'"&amp;"PEF_"&amp;$C45&amp;"'!n$83"),0)</f>
        <v>3630150.1047972967</v>
      </c>
      <c r="I45" s="164">
        <v>3145375.1315552075</v>
      </c>
      <c r="J45" s="164">
        <v>3302398.3672257653</v>
      </c>
      <c r="K45" s="164">
        <v>3443999.0828050529</v>
      </c>
      <c r="L45" s="164">
        <v>3630321.9679120854</v>
      </c>
      <c r="N45" s="164">
        <f t="shared" ca="1" si="4"/>
        <v>-172.03497790358961</v>
      </c>
      <c r="O45" s="164">
        <f t="shared" ca="1" si="5"/>
        <v>-171.86311478819698</v>
      </c>
      <c r="P45" s="164">
        <f t="shared" ca="1" si="6"/>
        <v>-171.86311478819698</v>
      </c>
      <c r="Q45" s="164">
        <f t="shared" ca="1" si="7"/>
        <v>-171.86311478866264</v>
      </c>
    </row>
    <row r="46" spans="2:17">
      <c r="B46" s="160" t="s">
        <v>118</v>
      </c>
      <c r="C46" s="161" t="s">
        <v>89</v>
      </c>
      <c r="D46" s="163">
        <f t="array" aca="1" ref="D46" ca="1">IFERROR(INDIRECT("'"&amp;"PEF_"&amp;$C46&amp;"'!e$83"),0)</f>
        <v>41963.566517250481</v>
      </c>
      <c r="E46" s="163">
        <f t="array" aca="1" ref="E46" ca="1">IFERROR(INDIRECT("'"&amp;"PEF_"&amp;$C46&amp;"'!h$83"),0)</f>
        <v>43948.444661184229</v>
      </c>
      <c r="F46" s="163">
        <f t="array" aca="1" ref="F46" ca="1">IFERROR(INDIRECT("'"&amp;"PEF_"&amp;$C46&amp;"'!k$83"),0)</f>
        <v>46649.703049172458</v>
      </c>
      <c r="G46" s="163">
        <f t="array" aca="1" ref="G46" ca="1">IFERROR(INDIRECT("'"&amp;"PEF_"&amp;$C46&amp;"'!n$83"),0)</f>
        <v>48433.572196052788</v>
      </c>
      <c r="I46" s="164">
        <v>41963.566517250474</v>
      </c>
      <c r="J46" s="164">
        <v>43948.444661184229</v>
      </c>
      <c r="K46" s="164">
        <v>46649.703049172465</v>
      </c>
      <c r="L46" s="164">
        <v>48433.572196052788</v>
      </c>
      <c r="N46" s="164">
        <f t="shared" ca="1" si="4"/>
        <v>0</v>
      </c>
      <c r="O46" s="164">
        <f t="shared" ca="1" si="5"/>
        <v>0</v>
      </c>
      <c r="P46" s="164">
        <f t="shared" ca="1" si="6"/>
        <v>0</v>
      </c>
      <c r="Q46" s="164">
        <f t="shared" ca="1" si="7"/>
        <v>0</v>
      </c>
    </row>
    <row r="47" spans="2:17">
      <c r="B47" s="160" t="s">
        <v>117</v>
      </c>
      <c r="C47" s="161" t="s">
        <v>90</v>
      </c>
      <c r="D47" s="163">
        <f t="array" aca="1" ref="D47" ca="1">IFERROR(INDIRECT("'"&amp;"PEF_"&amp;$C47&amp;"'!e$83"),0)</f>
        <v>0</v>
      </c>
      <c r="E47" s="163">
        <f t="array" aca="1" ref="E47" ca="1">IFERROR(INDIRECT("'"&amp;"PEF_"&amp;$C47&amp;"'!h$83"),0)</f>
        <v>0</v>
      </c>
      <c r="F47" s="163">
        <f t="array" aca="1" ref="F47" ca="1">IFERROR(INDIRECT("'"&amp;"PEF_"&amp;$C47&amp;"'!k$83"),0)</f>
        <v>0</v>
      </c>
      <c r="G47" s="163">
        <f t="array" aca="1" ref="G47" ca="1">IFERROR(INDIRECT("'"&amp;"PEF_"&amp;$C47&amp;"'!n$83"),0)</f>
        <v>0</v>
      </c>
      <c r="I47" s="164">
        <v>0</v>
      </c>
      <c r="J47" s="164">
        <v>0</v>
      </c>
      <c r="K47" s="164">
        <v>0</v>
      </c>
      <c r="L47" s="164">
        <v>0</v>
      </c>
      <c r="N47" s="164">
        <f t="shared" ca="1" si="4"/>
        <v>0</v>
      </c>
      <c r="O47" s="164">
        <f t="shared" ca="1" si="5"/>
        <v>0</v>
      </c>
      <c r="P47" s="164">
        <f t="shared" ca="1" si="6"/>
        <v>0</v>
      </c>
      <c r="Q47" s="164">
        <f t="shared" ca="1" si="7"/>
        <v>0</v>
      </c>
    </row>
    <row r="48" spans="2:17">
      <c r="B48" s="160" t="s">
        <v>118</v>
      </c>
      <c r="C48" s="161" t="s">
        <v>91</v>
      </c>
      <c r="D48" s="163">
        <f t="array" aca="1" ref="D48" ca="1">IFERROR(INDIRECT("'"&amp;"PEF_"&amp;$C48&amp;"'!e$83"),0)</f>
        <v>348763.52329202025</v>
      </c>
      <c r="E48" s="163">
        <f t="array" aca="1" ref="E48" ca="1">IFERROR(INDIRECT("'"&amp;"PEF_"&amp;$C48&amp;"'!h$83"),0)</f>
        <v>372483.65646028786</v>
      </c>
      <c r="F48" s="163">
        <f t="array" aca="1" ref="F48" ca="1">IFERROR(INDIRECT("'"&amp;"PEF_"&amp;$C48&amp;"'!k$83"),0)</f>
        <v>377951.35769092559</v>
      </c>
      <c r="G48" s="163">
        <f t="array" aca="1" ref="G48" ca="1">IFERROR(INDIRECT("'"&amp;"PEF_"&amp;$C48&amp;"'!n$83"),0)</f>
        <v>388590.11016542697</v>
      </c>
      <c r="I48" s="164">
        <v>348763.52329202031</v>
      </c>
      <c r="J48" s="164">
        <v>372483.93137428787</v>
      </c>
      <c r="K48" s="164">
        <v>377951.35769092554</v>
      </c>
      <c r="L48" s="164">
        <v>388590.11016542697</v>
      </c>
      <c r="N48" s="164">
        <f t="shared" ca="1" si="4"/>
        <v>0</v>
      </c>
      <c r="O48" s="164">
        <f t="shared" ca="1" si="5"/>
        <v>-0.2749140000087209</v>
      </c>
      <c r="P48" s="164">
        <f t="shared" ca="1" si="6"/>
        <v>0</v>
      </c>
      <c r="Q48" s="164">
        <f t="shared" ca="1" si="7"/>
        <v>0</v>
      </c>
    </row>
    <row r="49" spans="2:17">
      <c r="B49" s="160" t="s">
        <v>117</v>
      </c>
      <c r="C49" s="161" t="s">
        <v>92</v>
      </c>
      <c r="D49" s="163">
        <f t="array" aca="1" ref="D49" ca="1">IFERROR(INDIRECT("'"&amp;"PEF_"&amp;$C49&amp;"'!e$83"),0)</f>
        <v>0</v>
      </c>
      <c r="E49" s="163">
        <f t="array" aca="1" ref="E49" ca="1">IFERROR(INDIRECT("'"&amp;"PEF_"&amp;$C49&amp;"'!h$83"),0)</f>
        <v>0</v>
      </c>
      <c r="F49" s="163">
        <f t="array" aca="1" ref="F49" ca="1">IFERROR(INDIRECT("'"&amp;"PEF_"&amp;$C49&amp;"'!k$83"),0)</f>
        <v>0</v>
      </c>
      <c r="G49" s="163">
        <f t="array" aca="1" ref="G49" ca="1">IFERROR(INDIRECT("'"&amp;"PEF_"&amp;$C49&amp;"'!n$83"),0)</f>
        <v>0</v>
      </c>
      <c r="I49" s="164">
        <v>0</v>
      </c>
      <c r="J49" s="164">
        <v>0</v>
      </c>
      <c r="K49" s="164">
        <v>0</v>
      </c>
      <c r="L49" s="164">
        <v>0</v>
      </c>
      <c r="N49" s="164">
        <f t="shared" ca="1" si="4"/>
        <v>0</v>
      </c>
      <c r="O49" s="164">
        <f t="shared" ca="1" si="5"/>
        <v>0</v>
      </c>
      <c r="P49" s="164">
        <f t="shared" ca="1" si="6"/>
        <v>0</v>
      </c>
      <c r="Q49" s="164">
        <f t="shared" ca="1" si="7"/>
        <v>0</v>
      </c>
    </row>
    <row r="50" spans="2:17">
      <c r="B50" s="160" t="s">
        <v>117</v>
      </c>
      <c r="C50" s="161" t="s">
        <v>93</v>
      </c>
      <c r="D50" s="163">
        <f t="array" aca="1" ref="D50" ca="1">IFERROR(INDIRECT("'"&amp;"PEF_"&amp;$C50&amp;"'!e$83"),0)</f>
        <v>0</v>
      </c>
      <c r="E50" s="163">
        <f t="array" aca="1" ref="E50" ca="1">IFERROR(INDIRECT("'"&amp;"PEF_"&amp;$C50&amp;"'!h$83"),0)</f>
        <v>0</v>
      </c>
      <c r="F50" s="163">
        <f t="array" aca="1" ref="F50" ca="1">IFERROR(INDIRECT("'"&amp;"PEF_"&amp;$C50&amp;"'!k$83"),0)</f>
        <v>0</v>
      </c>
      <c r="G50" s="163">
        <f t="array" aca="1" ref="G50" ca="1">IFERROR(INDIRECT("'"&amp;"PEF_"&amp;$C50&amp;"'!n$83"),0)</f>
        <v>0</v>
      </c>
      <c r="I50" s="164">
        <v>0</v>
      </c>
      <c r="J50" s="164">
        <v>0</v>
      </c>
      <c r="K50" s="164">
        <v>0</v>
      </c>
      <c r="L50" s="164">
        <v>0</v>
      </c>
      <c r="N50" s="164">
        <f t="shared" ca="1" si="4"/>
        <v>0</v>
      </c>
      <c r="O50" s="164">
        <f t="shared" ca="1" si="5"/>
        <v>0</v>
      </c>
      <c r="P50" s="164">
        <f t="shared" ca="1" si="6"/>
        <v>0</v>
      </c>
      <c r="Q50" s="164">
        <f t="shared" ca="1" si="7"/>
        <v>0</v>
      </c>
    </row>
    <row r="51" spans="2:17">
      <c r="B51" s="160" t="s">
        <v>117</v>
      </c>
      <c r="C51" s="161" t="s">
        <v>94</v>
      </c>
      <c r="D51" s="163">
        <f t="array" aca="1" ref="D51" ca="1">IFERROR(INDIRECT("'"&amp;"PEF_"&amp;$C51&amp;"'!e$83"),0)</f>
        <v>0</v>
      </c>
      <c r="E51" s="163">
        <f t="array" aca="1" ref="E51" ca="1">IFERROR(INDIRECT("'"&amp;"PEF_"&amp;$C51&amp;"'!h$83"),0)</f>
        <v>0</v>
      </c>
      <c r="F51" s="163">
        <f t="array" aca="1" ref="F51" ca="1">IFERROR(INDIRECT("'"&amp;"PEF_"&amp;$C51&amp;"'!k$83"),0)</f>
        <v>0</v>
      </c>
      <c r="G51" s="163">
        <f t="array" aca="1" ref="G51" ca="1">IFERROR(INDIRECT("'"&amp;"PEF_"&amp;$C51&amp;"'!n$83"),0)</f>
        <v>0</v>
      </c>
      <c r="I51" s="164">
        <v>0</v>
      </c>
      <c r="J51" s="164">
        <v>0</v>
      </c>
      <c r="K51" s="164">
        <v>0</v>
      </c>
      <c r="L51" s="164">
        <v>0</v>
      </c>
      <c r="N51" s="164">
        <f t="shared" ca="1" si="4"/>
        <v>0</v>
      </c>
      <c r="O51" s="164">
        <f t="shared" ca="1" si="5"/>
        <v>0</v>
      </c>
      <c r="P51" s="164">
        <f t="shared" ca="1" si="6"/>
        <v>0</v>
      </c>
      <c r="Q51" s="164">
        <f t="shared" ca="1" si="7"/>
        <v>0</v>
      </c>
    </row>
    <row r="52" spans="2:17">
      <c r="B52" s="160" t="s">
        <v>118</v>
      </c>
      <c r="C52" s="161" t="s">
        <v>95</v>
      </c>
      <c r="D52" s="163">
        <f t="array" aca="1" ref="D52" ca="1">IFERROR(INDIRECT("'"&amp;"PEF_"&amp;$C52&amp;"'!e$83"),0)</f>
        <v>2128207.5937127336</v>
      </c>
      <c r="E52" s="163">
        <f t="array" aca="1" ref="E52" ca="1">IFERROR(INDIRECT("'"&amp;"PEF_"&amp;$C52&amp;"'!h$83"),0)</f>
        <v>2238716.5132555962</v>
      </c>
      <c r="F52" s="163">
        <f t="array" aca="1" ref="F52" ca="1">IFERROR(INDIRECT("'"&amp;"PEF_"&amp;$C52&amp;"'!k$83"),0)</f>
        <v>2270745.9776519695</v>
      </c>
      <c r="G52" s="163">
        <f t="array" aca="1" ref="G52" ca="1">IFERROR(INDIRECT("'"&amp;"PEF_"&amp;$C52&amp;"'!n$83"),0)</f>
        <v>2286305.5040434496</v>
      </c>
      <c r="I52" s="164">
        <v>2128207.5937127336</v>
      </c>
      <c r="J52" s="164">
        <v>2238716.5132555962</v>
      </c>
      <c r="K52" s="164">
        <v>2270745.9776519686</v>
      </c>
      <c r="L52" s="164">
        <v>2286305.5040434492</v>
      </c>
      <c r="N52" s="164">
        <f t="shared" ca="1" si="4"/>
        <v>0</v>
      </c>
      <c r="O52" s="164">
        <f t="shared" ca="1" si="5"/>
        <v>0</v>
      </c>
      <c r="P52" s="164">
        <f t="shared" ca="1" si="6"/>
        <v>0</v>
      </c>
      <c r="Q52" s="164">
        <f t="shared" ca="1" si="7"/>
        <v>0</v>
      </c>
    </row>
    <row r="53" spans="2:17">
      <c r="B53" s="160" t="s">
        <v>117</v>
      </c>
      <c r="C53" s="161" t="s">
        <v>96</v>
      </c>
      <c r="D53" s="163">
        <f t="array" aca="1" ref="D53" ca="1">IFERROR(INDIRECT("'"&amp;"PEF_"&amp;$C53&amp;"'!e$83"),0)</f>
        <v>0</v>
      </c>
      <c r="E53" s="163">
        <f t="array" aca="1" ref="E53" ca="1">IFERROR(INDIRECT("'"&amp;"PEF_"&amp;$C53&amp;"'!h$83"),0)</f>
        <v>0</v>
      </c>
      <c r="F53" s="163">
        <f t="array" aca="1" ref="F53" ca="1">IFERROR(INDIRECT("'"&amp;"PEF_"&amp;$C53&amp;"'!k$83"),0)</f>
        <v>0</v>
      </c>
      <c r="G53" s="163">
        <f t="array" aca="1" ref="G53" ca="1">IFERROR(INDIRECT("'"&amp;"PEF_"&amp;$C53&amp;"'!n$83"),0)</f>
        <v>0</v>
      </c>
      <c r="I53" s="164">
        <v>0</v>
      </c>
      <c r="J53" s="164">
        <v>0</v>
      </c>
      <c r="K53" s="164">
        <v>0</v>
      </c>
      <c r="L53" s="164">
        <v>0</v>
      </c>
      <c r="N53" s="164">
        <f t="shared" ca="1" si="4"/>
        <v>0</v>
      </c>
      <c r="O53" s="164">
        <f t="shared" ca="1" si="5"/>
        <v>0</v>
      </c>
      <c r="P53" s="164">
        <f t="shared" ca="1" si="6"/>
        <v>0</v>
      </c>
      <c r="Q53" s="164">
        <f t="shared" ca="1" si="7"/>
        <v>0</v>
      </c>
    </row>
    <row r="54" spans="2:17">
      <c r="B54" s="160" t="s">
        <v>118</v>
      </c>
      <c r="C54" s="161" t="s">
        <v>97</v>
      </c>
      <c r="D54" s="163">
        <f t="array" aca="1" ref="D54" ca="1">IFERROR(INDIRECT("'"&amp;"PEF_"&amp;$C54&amp;"'!e$83"),0)</f>
        <v>513364.97929605807</v>
      </c>
      <c r="E54" s="163">
        <f t="array" aca="1" ref="E54" ca="1">IFERROR(INDIRECT("'"&amp;"PEF_"&amp;$C54&amp;"'!h$83"),0)</f>
        <v>519853.34850883001</v>
      </c>
      <c r="F54" s="163">
        <f t="array" aca="1" ref="F54" ca="1">IFERROR(INDIRECT("'"&amp;"PEF_"&amp;$C54&amp;"'!k$83"),0)</f>
        <v>516416.60057573265</v>
      </c>
      <c r="G54" s="163">
        <f t="array" aca="1" ref="G54" ca="1">IFERROR(INDIRECT("'"&amp;"PEF_"&amp;$C54&amp;"'!n$83"),0)</f>
        <v>524492.23085087887</v>
      </c>
      <c r="I54" s="164">
        <v>514080.58418396465</v>
      </c>
      <c r="J54" s="164">
        <v>523377.20238060446</v>
      </c>
      <c r="K54" s="164">
        <v>519940.74818160216</v>
      </c>
      <c r="L54" s="164">
        <v>524516.37845674832</v>
      </c>
      <c r="N54" s="164">
        <f t="shared" ca="1" si="4"/>
        <v>-715.60488790657837</v>
      </c>
      <c r="O54" s="164">
        <f t="shared" ca="1" si="5"/>
        <v>-3523.8538717744523</v>
      </c>
      <c r="P54" s="164">
        <f t="shared" ca="1" si="6"/>
        <v>-3524.1476058695116</v>
      </c>
      <c r="Q54" s="164">
        <f t="shared" ca="1" si="7"/>
        <v>-24.1476058694534</v>
      </c>
    </row>
    <row r="55" spans="2:17">
      <c r="B55" s="160" t="s">
        <v>117</v>
      </c>
      <c r="C55" s="161" t="s">
        <v>98</v>
      </c>
      <c r="D55" s="163">
        <f t="array" aca="1" ref="D55" ca="1">IFERROR(INDIRECT("'"&amp;"PEF_"&amp;$C55&amp;"'!e$83"),0)</f>
        <v>0</v>
      </c>
      <c r="E55" s="163">
        <f t="array" aca="1" ref="E55" ca="1">IFERROR(INDIRECT("'"&amp;"PEF_"&amp;$C55&amp;"'!h$83"),0)</f>
        <v>0</v>
      </c>
      <c r="F55" s="163">
        <f t="array" aca="1" ref="F55" ca="1">IFERROR(INDIRECT("'"&amp;"PEF_"&amp;$C55&amp;"'!k$83"),0)</f>
        <v>0</v>
      </c>
      <c r="G55" s="163">
        <f t="array" aca="1" ref="G55" ca="1">IFERROR(INDIRECT("'"&amp;"PEF_"&amp;$C55&amp;"'!n$83"),0)</f>
        <v>0</v>
      </c>
      <c r="I55" s="164">
        <v>0</v>
      </c>
      <c r="J55" s="164">
        <v>0</v>
      </c>
      <c r="K55" s="164">
        <v>0</v>
      </c>
      <c r="L55" s="164">
        <v>0</v>
      </c>
      <c r="N55" s="164">
        <f t="shared" ca="1" si="4"/>
        <v>0</v>
      </c>
      <c r="O55" s="164">
        <f t="shared" ca="1" si="5"/>
        <v>0</v>
      </c>
      <c r="P55" s="164">
        <f t="shared" ca="1" si="6"/>
        <v>0</v>
      </c>
      <c r="Q55" s="164">
        <f t="shared" ca="1" si="7"/>
        <v>0</v>
      </c>
    </row>
    <row r="56" spans="2:17">
      <c r="B56" s="160" t="s">
        <v>117</v>
      </c>
      <c r="C56" s="161" t="s">
        <v>99</v>
      </c>
      <c r="D56" s="163">
        <f t="array" aca="1" ref="D56" ca="1">IFERROR(INDIRECT("'"&amp;"PEF_"&amp;$C56&amp;"'!e$83"),0)</f>
        <v>0</v>
      </c>
      <c r="E56" s="163">
        <f t="array" aca="1" ref="E56" ca="1">IFERROR(INDIRECT("'"&amp;"PEF_"&amp;$C56&amp;"'!h$83"),0)</f>
        <v>0</v>
      </c>
      <c r="F56" s="163">
        <f t="array" aca="1" ref="F56" ca="1">IFERROR(INDIRECT("'"&amp;"PEF_"&amp;$C56&amp;"'!k$83"),0)</f>
        <v>0</v>
      </c>
      <c r="G56" s="163">
        <f t="array" aca="1" ref="G56" ca="1">IFERROR(INDIRECT("'"&amp;"PEF_"&amp;$C56&amp;"'!n$83"),0)</f>
        <v>0</v>
      </c>
      <c r="I56" s="164">
        <v>0</v>
      </c>
      <c r="J56" s="164">
        <v>0</v>
      </c>
      <c r="K56" s="164">
        <v>0</v>
      </c>
      <c r="L56" s="164">
        <v>0</v>
      </c>
      <c r="N56" s="164">
        <f t="shared" ca="1" si="4"/>
        <v>0</v>
      </c>
      <c r="O56" s="164">
        <f t="shared" ca="1" si="5"/>
        <v>0</v>
      </c>
      <c r="P56" s="164">
        <f t="shared" ca="1" si="6"/>
        <v>0</v>
      </c>
      <c r="Q56" s="164">
        <f t="shared" ca="1" si="7"/>
        <v>0</v>
      </c>
    </row>
    <row r="57" spans="2:17">
      <c r="B57" s="160" t="s">
        <v>117</v>
      </c>
      <c r="C57" s="161" t="s">
        <v>100</v>
      </c>
      <c r="D57" s="163">
        <f t="array" aca="1" ref="D57" ca="1">IFERROR(INDIRECT("'"&amp;"PEF_"&amp;$C57&amp;"'!e$83"),0)</f>
        <v>0</v>
      </c>
      <c r="E57" s="163">
        <f t="array" aca="1" ref="E57" ca="1">IFERROR(INDIRECT("'"&amp;"PEF_"&amp;$C57&amp;"'!h$83"),0)</f>
        <v>0</v>
      </c>
      <c r="F57" s="163">
        <f t="array" aca="1" ref="F57" ca="1">IFERROR(INDIRECT("'"&amp;"PEF_"&amp;$C57&amp;"'!k$83"),0)</f>
        <v>0</v>
      </c>
      <c r="G57" s="163">
        <f t="array" aca="1" ref="G57" ca="1">IFERROR(INDIRECT("'"&amp;"PEF_"&amp;$C57&amp;"'!n$83"),0)</f>
        <v>0</v>
      </c>
      <c r="I57" s="164">
        <v>0</v>
      </c>
      <c r="J57" s="164">
        <v>0</v>
      </c>
      <c r="K57" s="164">
        <v>0</v>
      </c>
      <c r="L57" s="164">
        <v>0</v>
      </c>
      <c r="N57" s="164">
        <f t="shared" ca="1" si="4"/>
        <v>0</v>
      </c>
      <c r="O57" s="164">
        <f t="shared" ca="1" si="5"/>
        <v>0</v>
      </c>
      <c r="P57" s="164">
        <f t="shared" ca="1" si="6"/>
        <v>0</v>
      </c>
      <c r="Q57" s="164">
        <f t="shared" ca="1" si="7"/>
        <v>0</v>
      </c>
    </row>
    <row r="58" spans="2:17">
      <c r="B58" s="160" t="s">
        <v>118</v>
      </c>
      <c r="C58" s="161" t="s">
        <v>101</v>
      </c>
      <c r="D58" s="163">
        <f t="array" aca="1" ref="D58" ca="1">IFERROR(INDIRECT("'"&amp;"PEF_"&amp;$C58&amp;"'!e$83"),0)</f>
        <v>595683.91862439795</v>
      </c>
      <c r="E58" s="163">
        <f t="array" aca="1" ref="E58" ca="1">IFERROR(INDIRECT("'"&amp;"PEF_"&amp;$C58&amp;"'!h$83"),0)</f>
        <v>630776.78714814771</v>
      </c>
      <c r="F58" s="163">
        <f t="array" aca="1" ref="F58" ca="1">IFERROR(INDIRECT("'"&amp;"PEF_"&amp;$C58&amp;"'!k$83"),0)</f>
        <v>620547.82941485988</v>
      </c>
      <c r="G58" s="163">
        <f t="array" aca="1" ref="G58" ca="1">IFERROR(INDIRECT("'"&amp;"PEF_"&amp;$C58&amp;"'!n$83"),0)</f>
        <v>500676.82821344101</v>
      </c>
      <c r="I58" s="164">
        <v>595683.91862439795</v>
      </c>
      <c r="J58" s="164">
        <v>630776.78714814771</v>
      </c>
      <c r="K58" s="164">
        <v>620547.82941485988</v>
      </c>
      <c r="L58" s="164">
        <v>500676.82821344107</v>
      </c>
      <c r="N58" s="164">
        <f t="shared" ca="1" si="4"/>
        <v>0</v>
      </c>
      <c r="O58" s="164">
        <f t="shared" ca="1" si="5"/>
        <v>0</v>
      </c>
      <c r="P58" s="164">
        <f t="shared" ca="1" si="6"/>
        <v>0</v>
      </c>
      <c r="Q58" s="164">
        <f t="shared" ca="1" si="7"/>
        <v>0</v>
      </c>
    </row>
    <row r="59" spans="2:17">
      <c r="B59" s="160" t="s">
        <v>118</v>
      </c>
      <c r="C59" s="161" t="s">
        <v>102</v>
      </c>
      <c r="D59" s="163">
        <f t="array" aca="1" ref="D59" ca="1">IFERROR(INDIRECT("'"&amp;"PEF_"&amp;$C59&amp;"'!e$83"),0)</f>
        <v>177214.72431257472</v>
      </c>
      <c r="E59" s="163">
        <f t="array" aca="1" ref="E59" ca="1">IFERROR(INDIRECT("'"&amp;"PEF_"&amp;$C59&amp;"'!h$83"),0)</f>
        <v>177305.66276671502</v>
      </c>
      <c r="F59" s="163">
        <f t="array" aca="1" ref="F59" ca="1">IFERROR(INDIRECT("'"&amp;"PEF_"&amp;$C59&amp;"'!k$83"),0)</f>
        <v>191539.69886318262</v>
      </c>
      <c r="G59" s="163">
        <f t="array" aca="1" ref="G59" ca="1">IFERROR(INDIRECT("'"&amp;"PEF_"&amp;$C59&amp;"'!n$83"),0)</f>
        <v>207415.59778844402</v>
      </c>
      <c r="I59" s="164">
        <v>177214.72431257472</v>
      </c>
      <c r="J59" s="164">
        <v>177305.66276671505</v>
      </c>
      <c r="K59" s="164">
        <v>191539.69886318265</v>
      </c>
      <c r="L59" s="164">
        <v>207415.59778844405</v>
      </c>
      <c r="N59" s="164">
        <f t="shared" ca="1" si="4"/>
        <v>0</v>
      </c>
      <c r="O59" s="164">
        <f t="shared" ca="1" si="5"/>
        <v>0</v>
      </c>
      <c r="P59" s="164">
        <f t="shared" ca="1" si="6"/>
        <v>0</v>
      </c>
      <c r="Q59" s="164">
        <f t="shared" ca="1" si="7"/>
        <v>0</v>
      </c>
    </row>
    <row r="60" spans="2:17">
      <c r="B60" s="160" t="s">
        <v>118</v>
      </c>
      <c r="C60" s="161" t="s">
        <v>103</v>
      </c>
      <c r="D60" s="163">
        <f t="array" aca="1" ref="D60" ca="1">IFERROR(INDIRECT("'"&amp;"PEF_"&amp;$C60&amp;"'!e$83"),0)</f>
        <v>295078.8700102556</v>
      </c>
      <c r="E60" s="163">
        <f t="array" aca="1" ref="E60" ca="1">IFERROR(INDIRECT("'"&amp;"PEF_"&amp;$C60&amp;"'!h$83"),0)</f>
        <v>309681.42566786846</v>
      </c>
      <c r="F60" s="163">
        <f t="array" aca="1" ref="F60" ca="1">IFERROR(INDIRECT("'"&amp;"PEF_"&amp;$C60&amp;"'!k$83"),0)</f>
        <v>314888.33660438168</v>
      </c>
      <c r="G60" s="163">
        <f t="array" aca="1" ref="G60" ca="1">IFERROR(INDIRECT("'"&amp;"PEF_"&amp;$C60&amp;"'!n$83"),0)</f>
        <v>323920.18705802911</v>
      </c>
      <c r="I60" s="164">
        <v>294977.3700102556</v>
      </c>
      <c r="J60" s="164">
        <v>309079.9256678684</v>
      </c>
      <c r="K60" s="164">
        <v>314888.33660438168</v>
      </c>
      <c r="L60" s="164">
        <v>322420.18705802911</v>
      </c>
      <c r="N60" s="164">
        <f t="shared" ca="1" si="4"/>
        <v>101.5</v>
      </c>
      <c r="O60" s="164">
        <f t="shared" ca="1" si="5"/>
        <v>601.50000000005821</v>
      </c>
      <c r="P60" s="164">
        <f t="shared" ca="1" si="6"/>
        <v>0</v>
      </c>
      <c r="Q60" s="164">
        <f t="shared" ca="1" si="7"/>
        <v>1500</v>
      </c>
    </row>
    <row r="61" spans="2:17">
      <c r="B61" s="160" t="s">
        <v>118</v>
      </c>
      <c r="C61" s="161" t="s">
        <v>104</v>
      </c>
      <c r="D61" s="163">
        <f t="array" aca="1" ref="D61" ca="1">IFERROR(INDIRECT("'"&amp;"PEF_"&amp;$C61&amp;"'!e$83"),0)</f>
        <v>248087.68859092871</v>
      </c>
      <c r="E61" s="163">
        <f t="array" aca="1" ref="E61" ca="1">IFERROR(INDIRECT("'"&amp;"PEF_"&amp;$C61&amp;"'!h$83"),0)</f>
        <v>251947.10433676609</v>
      </c>
      <c r="F61" s="163">
        <f t="array" aca="1" ref="F61" ca="1">IFERROR(INDIRECT("'"&amp;"PEF_"&amp;$C61&amp;"'!k$83"),0)</f>
        <v>247699.4405471973</v>
      </c>
      <c r="G61" s="163">
        <f t="array" aca="1" ref="G61" ca="1">IFERROR(INDIRECT("'"&amp;"PEF_"&amp;$C61&amp;"'!n$83"),0)</f>
        <v>255012.06000232208</v>
      </c>
      <c r="I61" s="164">
        <v>248087.90264092872</v>
      </c>
      <c r="J61" s="164">
        <v>251946.98256676609</v>
      </c>
      <c r="K61" s="164">
        <v>247699.31877719733</v>
      </c>
      <c r="L61" s="164">
        <v>255011.93823232211</v>
      </c>
      <c r="N61" s="164">
        <f t="shared" ca="1" si="4"/>
        <v>-0.21405000000959262</v>
      </c>
      <c r="O61" s="164">
        <f t="shared" ca="1" si="5"/>
        <v>0.12176999999792315</v>
      </c>
      <c r="P61" s="164">
        <f t="shared" ca="1" si="6"/>
        <v>0.12176999996881932</v>
      </c>
      <c r="Q61" s="164">
        <f t="shared" ca="1" si="7"/>
        <v>0.12176999996881932</v>
      </c>
    </row>
    <row r="62" spans="2:17">
      <c r="B62" s="160" t="s">
        <v>118</v>
      </c>
      <c r="C62" s="161" t="s">
        <v>105</v>
      </c>
      <c r="D62" s="163">
        <f t="array" aca="1" ref="D62" ca="1">IFERROR(INDIRECT("'"&amp;"PEF_"&amp;$C62&amp;"'!e$83"),0)</f>
        <v>237762.63200000004</v>
      </c>
      <c r="E62" s="163">
        <f t="array" aca="1" ref="E62" ca="1">IFERROR(INDIRECT("'"&amp;"PEF_"&amp;$C62&amp;"'!h$83"),0)</f>
        <v>248496.97635033881</v>
      </c>
      <c r="F62" s="163">
        <f t="array" aca="1" ref="F62" ca="1">IFERROR(INDIRECT("'"&amp;"PEF_"&amp;$C62&amp;"'!k$83"),0)</f>
        <v>256938.26391276257</v>
      </c>
      <c r="G62" s="163">
        <f t="array" aca="1" ref="G62" ca="1">IFERROR(INDIRECT("'"&amp;"PEF_"&amp;$C62&amp;"'!n$83"),0)</f>
        <v>271072.44026592624</v>
      </c>
      <c r="I62" s="164">
        <v>232776.86227728808</v>
      </c>
      <c r="J62" s="164">
        <v>243511.17635033882</v>
      </c>
      <c r="K62" s="164">
        <v>256938.2639127626</v>
      </c>
      <c r="L62" s="164">
        <v>271072.44026592624</v>
      </c>
      <c r="N62" s="164">
        <f t="shared" ca="1" si="4"/>
        <v>4985.7697227119643</v>
      </c>
      <c r="O62" s="164">
        <f t="shared" ca="1" si="5"/>
        <v>4985.7999999999884</v>
      </c>
      <c r="P62" s="164">
        <f t="shared" ca="1" si="6"/>
        <v>0</v>
      </c>
      <c r="Q62" s="164">
        <f t="shared" ca="1" si="7"/>
        <v>0</v>
      </c>
    </row>
    <row r="63" spans="2:17">
      <c r="B63" s="160" t="s">
        <v>117</v>
      </c>
      <c r="C63" s="161" t="s">
        <v>106</v>
      </c>
      <c r="D63" s="163">
        <f t="array" aca="1" ref="D63" ca="1">IFERROR(INDIRECT("'"&amp;"PEF_"&amp;$C63&amp;"'!e$83"),0)</f>
        <v>0</v>
      </c>
      <c r="E63" s="163">
        <f t="array" aca="1" ref="E63" ca="1">IFERROR(INDIRECT("'"&amp;"PEF_"&amp;$C63&amp;"'!h$83"),0)</f>
        <v>0</v>
      </c>
      <c r="F63" s="163">
        <f t="array" aca="1" ref="F63" ca="1">IFERROR(INDIRECT("'"&amp;"PEF_"&amp;$C63&amp;"'!k$83"),0)</f>
        <v>0</v>
      </c>
      <c r="G63" s="163">
        <f t="array" aca="1" ref="G63" ca="1">IFERROR(INDIRECT("'"&amp;"PEF_"&amp;$C63&amp;"'!n$83"),0)</f>
        <v>0</v>
      </c>
      <c r="I63" s="164">
        <v>0</v>
      </c>
      <c r="J63" s="164">
        <v>0</v>
      </c>
      <c r="K63" s="164">
        <v>0</v>
      </c>
      <c r="L63" s="164">
        <v>0</v>
      </c>
      <c r="N63" s="164">
        <f t="shared" ca="1" si="4"/>
        <v>0</v>
      </c>
      <c r="O63" s="164">
        <f t="shared" ca="1" si="5"/>
        <v>0</v>
      </c>
      <c r="P63" s="164">
        <f t="shared" ca="1" si="6"/>
        <v>0</v>
      </c>
      <c r="Q63" s="164">
        <f t="shared" ca="1" si="7"/>
        <v>0</v>
      </c>
    </row>
    <row r="64" spans="2:17">
      <c r="B64" s="160" t="s">
        <v>117</v>
      </c>
      <c r="C64" s="161" t="s">
        <v>107</v>
      </c>
      <c r="D64" s="163">
        <f t="array" aca="1" ref="D64" ca="1">IFERROR(INDIRECT("'"&amp;"PEF_"&amp;$C64&amp;"'!e$83"),0)</f>
        <v>0</v>
      </c>
      <c r="E64" s="163">
        <f t="array" aca="1" ref="E64" ca="1">IFERROR(INDIRECT("'"&amp;"PEF_"&amp;$C64&amp;"'!h$83"),0)</f>
        <v>0</v>
      </c>
      <c r="F64" s="163">
        <f t="array" aca="1" ref="F64" ca="1">IFERROR(INDIRECT("'"&amp;"PEF_"&amp;$C64&amp;"'!k$83"),0)</f>
        <v>0</v>
      </c>
      <c r="G64" s="163">
        <f t="array" aca="1" ref="G64" ca="1">IFERROR(INDIRECT("'"&amp;"PEF_"&amp;$C64&amp;"'!n$83"),0)</f>
        <v>0</v>
      </c>
      <c r="I64" s="164">
        <v>0</v>
      </c>
      <c r="J64" s="164">
        <v>0</v>
      </c>
      <c r="K64" s="164">
        <v>0</v>
      </c>
      <c r="L64" s="164">
        <v>0</v>
      </c>
      <c r="N64" s="164">
        <f t="shared" ca="1" si="4"/>
        <v>0</v>
      </c>
      <c r="O64" s="164">
        <f t="shared" ca="1" si="5"/>
        <v>0</v>
      </c>
      <c r="P64" s="164">
        <f t="shared" ca="1" si="6"/>
        <v>0</v>
      </c>
      <c r="Q64" s="164">
        <f t="shared" ca="1" si="7"/>
        <v>0</v>
      </c>
    </row>
    <row r="65" spans="2:17">
      <c r="B65" s="160" t="s">
        <v>117</v>
      </c>
      <c r="C65" s="161" t="s">
        <v>108</v>
      </c>
      <c r="D65" s="163">
        <f t="array" aca="1" ref="D65" ca="1">IFERROR(INDIRECT("'"&amp;"PEF_"&amp;$C65&amp;"'!e$83"),0)</f>
        <v>0</v>
      </c>
      <c r="E65" s="163">
        <f t="array" aca="1" ref="E65" ca="1">IFERROR(INDIRECT("'"&amp;"PEF_"&amp;$C65&amp;"'!h$83"),0)</f>
        <v>0</v>
      </c>
      <c r="F65" s="163">
        <f t="array" aca="1" ref="F65" ca="1">IFERROR(INDIRECT("'"&amp;"PEF_"&amp;$C65&amp;"'!k$83"),0)</f>
        <v>0</v>
      </c>
      <c r="G65" s="163">
        <f t="array" aca="1" ref="G65" ca="1">IFERROR(INDIRECT("'"&amp;"PEF_"&amp;$C65&amp;"'!n$83"),0)</f>
        <v>0</v>
      </c>
      <c r="I65" s="164">
        <v>0</v>
      </c>
      <c r="J65" s="164">
        <v>0</v>
      </c>
      <c r="K65" s="164">
        <v>0</v>
      </c>
      <c r="L65" s="164">
        <v>0</v>
      </c>
      <c r="N65" s="164">
        <f t="shared" ca="1" si="4"/>
        <v>0</v>
      </c>
      <c r="O65" s="164">
        <f t="shared" ca="1" si="5"/>
        <v>0</v>
      </c>
      <c r="P65" s="164">
        <f t="shared" ca="1" si="6"/>
        <v>0</v>
      </c>
      <c r="Q65" s="164">
        <f t="shared" ca="1" si="7"/>
        <v>0</v>
      </c>
    </row>
    <row r="66" spans="2:17">
      <c r="B66" s="160" t="s">
        <v>117</v>
      </c>
      <c r="C66" s="161" t="s">
        <v>109</v>
      </c>
      <c r="D66" s="163">
        <f t="array" aca="1" ref="D66" ca="1">IFERROR(INDIRECT("'"&amp;"PEF_"&amp;$C66&amp;"'!e$83"),0)</f>
        <v>0</v>
      </c>
      <c r="E66" s="163">
        <f t="array" aca="1" ref="E66" ca="1">IFERROR(INDIRECT("'"&amp;"PEF_"&amp;$C66&amp;"'!h$83"),0)</f>
        <v>0</v>
      </c>
      <c r="F66" s="163">
        <f t="array" aca="1" ref="F66" ca="1">IFERROR(INDIRECT("'"&amp;"PEF_"&amp;$C66&amp;"'!k$83"),0)</f>
        <v>0</v>
      </c>
      <c r="G66" s="163">
        <f t="array" aca="1" ref="G66" ca="1">IFERROR(INDIRECT("'"&amp;"PEF_"&amp;$C66&amp;"'!n$83"),0)</f>
        <v>0</v>
      </c>
      <c r="I66" s="164">
        <v>0</v>
      </c>
      <c r="J66" s="164">
        <v>0</v>
      </c>
      <c r="K66" s="164">
        <v>0</v>
      </c>
      <c r="L66" s="164">
        <v>0</v>
      </c>
      <c r="N66" s="164">
        <f t="shared" ca="1" si="4"/>
        <v>0</v>
      </c>
      <c r="O66" s="164">
        <f t="shared" ca="1" si="5"/>
        <v>0</v>
      </c>
      <c r="P66" s="164">
        <f t="shared" ca="1" si="6"/>
        <v>0</v>
      </c>
      <c r="Q66" s="164">
        <f t="shared" ca="1" si="7"/>
        <v>0</v>
      </c>
    </row>
    <row r="67" spans="2:17">
      <c r="B67" s="160" t="s">
        <v>118</v>
      </c>
      <c r="C67" s="161" t="s">
        <v>110</v>
      </c>
      <c r="D67" s="163">
        <f t="array" aca="1" ref="D67" ca="1">IFERROR(INDIRECT("'"&amp;"PEF_"&amp;$C67&amp;"'!e$83"),0)</f>
        <v>311645.03977394197</v>
      </c>
      <c r="E67" s="163">
        <f t="array" aca="1" ref="E67" ca="1">IFERROR(INDIRECT("'"&amp;"PEF_"&amp;$C67&amp;"'!h$83"),0)</f>
        <v>319846.20658628037</v>
      </c>
      <c r="F67" s="163">
        <f t="array" aca="1" ref="F67" ca="1">IFERROR(INDIRECT("'"&amp;"PEF_"&amp;$C67&amp;"'!k$83"),0)</f>
        <v>328494.16805373621</v>
      </c>
      <c r="G67" s="163">
        <f t="array" aca="1" ref="G67" ca="1">IFERROR(INDIRECT("'"&amp;"PEF_"&amp;$C67&amp;"'!n$83"),0)</f>
        <v>324441.05650033633</v>
      </c>
      <c r="I67" s="164">
        <v>311672.57344176399</v>
      </c>
      <c r="J67" s="164">
        <v>319873.71274794079</v>
      </c>
      <c r="K67" s="164">
        <v>328521.67421539663</v>
      </c>
      <c r="L67" s="164">
        <v>324468.56266199669</v>
      </c>
      <c r="N67" s="164">
        <f t="shared" ca="1" si="4"/>
        <v>-27.533667822019197</v>
      </c>
      <c r="O67" s="164">
        <f t="shared" ca="1" si="5"/>
        <v>-27.50616166042164</v>
      </c>
      <c r="P67" s="164">
        <f t="shared" ca="1" si="6"/>
        <v>-27.50616166042164</v>
      </c>
      <c r="Q67" s="164">
        <f t="shared" ca="1" si="7"/>
        <v>-27.506161660363432</v>
      </c>
    </row>
    <row r="68" spans="2:17">
      <c r="B68" s="160" t="s">
        <v>118</v>
      </c>
      <c r="C68" s="161" t="s">
        <v>111</v>
      </c>
      <c r="D68" s="163">
        <f t="array" aca="1" ref="D68" ca="1">IFERROR(INDIRECT("'"&amp;"PEF_"&amp;$C68&amp;"'!e$83"),0)</f>
        <v>472439.44412251672</v>
      </c>
      <c r="E68" s="163">
        <f t="array" aca="1" ref="E68" ca="1">IFERROR(INDIRECT("'"&amp;"PEF_"&amp;$C68&amp;"'!h$83"),0)</f>
        <v>484065.61975090386</v>
      </c>
      <c r="F68" s="163">
        <f t="array" aca="1" ref="F68" ca="1">IFERROR(INDIRECT("'"&amp;"PEF_"&amp;$C68&amp;"'!k$83"),0)</f>
        <v>482796.24103728507</v>
      </c>
      <c r="G68" s="163">
        <f t="array" aca="1" ref="G68" ca="1">IFERROR(INDIRECT("'"&amp;"PEF_"&amp;$C68&amp;"'!n$83"),0)</f>
        <v>482770.41381630168</v>
      </c>
      <c r="I68" s="164">
        <v>472462.56478227704</v>
      </c>
      <c r="J68" s="164">
        <v>484088.71731310192</v>
      </c>
      <c r="K68" s="164">
        <v>482819.33859948319</v>
      </c>
      <c r="L68" s="164">
        <v>482793.5113784998</v>
      </c>
      <c r="N68" s="164">
        <f t="shared" ca="1" si="4"/>
        <v>-23.120659760315903</v>
      </c>
      <c r="O68" s="164">
        <f t="shared" ca="1" si="5"/>
        <v>-23.097562198061496</v>
      </c>
      <c r="P68" s="164">
        <f t="shared" ca="1" si="6"/>
        <v>-23.097562198119704</v>
      </c>
      <c r="Q68" s="164">
        <f t="shared" ca="1" si="7"/>
        <v>-23.097562198119704</v>
      </c>
    </row>
    <row r="69" spans="2:17">
      <c r="B69" s="160" t="s">
        <v>117</v>
      </c>
      <c r="C69" s="161" t="s">
        <v>112</v>
      </c>
      <c r="D69" s="163">
        <f t="array" aca="1" ref="D69" ca="1">IFERROR(INDIRECT("'"&amp;"PEF_"&amp;$C69&amp;"'!e$83"),0)</f>
        <v>0</v>
      </c>
      <c r="E69" s="163">
        <f t="array" aca="1" ref="E69" ca="1">IFERROR(INDIRECT("'"&amp;"PEF_"&amp;$C69&amp;"'!h$83"),0)</f>
        <v>0</v>
      </c>
      <c r="F69" s="163">
        <f t="array" aca="1" ref="F69" ca="1">IFERROR(INDIRECT("'"&amp;"PEF_"&amp;$C69&amp;"'!k$83"),0)</f>
        <v>0</v>
      </c>
      <c r="G69" s="163">
        <f t="array" aca="1" ref="G69" ca="1">IFERROR(INDIRECT("'"&amp;"PEF_"&amp;$C69&amp;"'!n$83"),0)</f>
        <v>0</v>
      </c>
      <c r="I69" s="164">
        <v>0</v>
      </c>
      <c r="J69" s="164">
        <v>0</v>
      </c>
      <c r="K69" s="164">
        <v>0</v>
      </c>
      <c r="L69" s="164">
        <v>0</v>
      </c>
      <c r="N69" s="164">
        <f t="shared" ca="1" si="4"/>
        <v>0</v>
      </c>
      <c r="O69" s="164">
        <f t="shared" ca="1" si="5"/>
        <v>0</v>
      </c>
      <c r="P69" s="164">
        <f t="shared" ca="1" si="6"/>
        <v>0</v>
      </c>
      <c r="Q69" s="164">
        <f t="shared" ca="1" si="7"/>
        <v>0</v>
      </c>
    </row>
    <row r="70" spans="2:17">
      <c r="B70" s="160" t="s">
        <v>118</v>
      </c>
      <c r="C70" s="161" t="s">
        <v>113</v>
      </c>
      <c r="D70" s="163">
        <f t="array" aca="1" ref="D70" ca="1">IFERROR(INDIRECT("'"&amp;"PEF_"&amp;$C70&amp;"'!e$83"),0)</f>
        <v>92512.691037501165</v>
      </c>
      <c r="E70" s="163">
        <f t="array" aca="1" ref="E70" ca="1">IFERROR(INDIRECT("'"&amp;"PEF_"&amp;$C70&amp;"'!h$83"),0)</f>
        <v>91824.738866062267</v>
      </c>
      <c r="F70" s="163">
        <f t="array" aca="1" ref="F70" ca="1">IFERROR(INDIRECT("'"&amp;"PEF_"&amp;$C70&amp;"'!k$83"),0)</f>
        <v>91600.396397973993</v>
      </c>
      <c r="G70" s="163">
        <f t="array" aca="1" ref="G70" ca="1">IFERROR(INDIRECT("'"&amp;"PEF_"&amp;$C70&amp;"'!n$83"),0)</f>
        <v>91162.472700061102</v>
      </c>
      <c r="I70" s="164">
        <v>90332.399178481719</v>
      </c>
      <c r="J70" s="164">
        <v>91824.738866062282</v>
      </c>
      <c r="K70" s="164">
        <v>91600.396397974022</v>
      </c>
      <c r="L70" s="164">
        <v>91162.472700061131</v>
      </c>
      <c r="N70" s="164">
        <f t="shared" ca="1" si="4"/>
        <v>2180.2918590194458</v>
      </c>
      <c r="O70" s="164">
        <f t="shared" ca="1" si="5"/>
        <v>0</v>
      </c>
      <c r="P70" s="164">
        <f t="shared" ca="1" si="6"/>
        <v>0</v>
      </c>
      <c r="Q70" s="164">
        <f t="shared" ca="1" si="7"/>
        <v>0</v>
      </c>
    </row>
    <row r="71" spans="2:17">
      <c r="B71" s="160" t="s">
        <v>118</v>
      </c>
      <c r="C71" s="161" t="s">
        <v>114</v>
      </c>
      <c r="D71" s="163">
        <f t="array" aca="1" ref="D71" ca="1">IFERROR(INDIRECT("'"&amp;"PEF_"&amp;$C71&amp;"'!e$83"),0)</f>
        <v>16271090.602335064</v>
      </c>
      <c r="E71" s="163">
        <f t="array" aca="1" ref="E71" ca="1">IFERROR(INDIRECT("'"&amp;"PEF_"&amp;$C71&amp;"'!h$83"),0)</f>
        <v>16459735.511062264</v>
      </c>
      <c r="F71" s="163">
        <f t="array" aca="1" ref="F71" ca="1">IFERROR(INDIRECT("'"&amp;"PEF_"&amp;$C71&amp;"'!k$83"),0)</f>
        <v>16519254.325993929</v>
      </c>
      <c r="G71" s="163">
        <f t="array" aca="1" ref="G71" ca="1">IFERROR(INDIRECT("'"&amp;"PEF_"&amp;$C71&amp;"'!n$83"),0)</f>
        <v>16579632.314168375</v>
      </c>
      <c r="I71" s="164">
        <v>16271715.235781064</v>
      </c>
      <c r="J71" s="164">
        <v>16460359.481020549</v>
      </c>
      <c r="K71" s="164">
        <v>16519878.283572132</v>
      </c>
      <c r="L71" s="164">
        <v>16580256.309488552</v>
      </c>
      <c r="N71" s="164">
        <f t="shared" ca="1" si="4"/>
        <v>-624.63344600051641</v>
      </c>
      <c r="O71" s="164">
        <f t="shared" ca="1" si="5"/>
        <v>-623.96995828486979</v>
      </c>
      <c r="P71" s="164">
        <f t="shared" ca="1" si="6"/>
        <v>-623.95757820270956</v>
      </c>
      <c r="Q71" s="164">
        <f t="shared" ca="1" si="7"/>
        <v>-623.99532017670572</v>
      </c>
    </row>
    <row r="72" spans="2:17">
      <c r="B72" s="160" t="s">
        <v>117</v>
      </c>
      <c r="C72" s="161" t="s">
        <v>115</v>
      </c>
      <c r="D72" s="163">
        <f t="array" aca="1" ref="D72" ca="1">IFERROR(INDIRECT("'"&amp;"PEF_"&amp;$C72&amp;"'!e$83"),0)</f>
        <v>0</v>
      </c>
      <c r="E72" s="163">
        <f t="array" aca="1" ref="E72" ca="1">IFERROR(INDIRECT("'"&amp;"PEF_"&amp;$C72&amp;"'!h$83"),0)</f>
        <v>0</v>
      </c>
      <c r="F72" s="163">
        <f t="array" aca="1" ref="F72" ca="1">IFERROR(INDIRECT("'"&amp;"PEF_"&amp;$C72&amp;"'!k$83"),0)</f>
        <v>0</v>
      </c>
      <c r="G72" s="163">
        <f t="array" aca="1" ref="G72" ca="1">IFERROR(INDIRECT("'"&amp;"PEF_"&amp;$C72&amp;"'!n$83"),0)</f>
        <v>0</v>
      </c>
      <c r="I72" s="164">
        <v>0</v>
      </c>
      <c r="J72" s="164">
        <v>0</v>
      </c>
      <c r="K72" s="164">
        <v>0</v>
      </c>
      <c r="L72" s="164">
        <v>0</v>
      </c>
      <c r="N72" s="164">
        <f t="shared" ca="1" si="4"/>
        <v>0</v>
      </c>
      <c r="O72" s="164">
        <f t="shared" ca="1" si="5"/>
        <v>0</v>
      </c>
      <c r="P72" s="164">
        <f t="shared" ca="1" si="6"/>
        <v>0</v>
      </c>
      <c r="Q72" s="164">
        <f t="shared" ca="1" si="7"/>
        <v>0</v>
      </c>
    </row>
    <row r="75" spans="2:17">
      <c r="C75" s="162" t="s">
        <v>119</v>
      </c>
      <c r="D75" s="162">
        <v>2022</v>
      </c>
      <c r="E75" s="162">
        <v>2023</v>
      </c>
      <c r="F75" s="162">
        <v>2024</v>
      </c>
      <c r="G75" s="162">
        <v>2025</v>
      </c>
      <c r="I75" s="162">
        <v>2022</v>
      </c>
      <c r="J75" s="162">
        <v>2023</v>
      </c>
      <c r="K75" s="162">
        <v>2024</v>
      </c>
      <c r="L75" s="162">
        <v>2025</v>
      </c>
      <c r="N75" s="162">
        <v>2022</v>
      </c>
      <c r="O75" s="162">
        <v>2023</v>
      </c>
      <c r="P75" s="162">
        <v>2024</v>
      </c>
      <c r="Q75" s="162">
        <v>2025</v>
      </c>
    </row>
    <row r="76" spans="2:17">
      <c r="B76" s="160" t="s">
        <v>117</v>
      </c>
      <c r="C76" s="161" t="s">
        <v>82</v>
      </c>
      <c r="D76" s="163">
        <f t="array" aca="1" ref="D76" ca="1">IFERROR(INDIRECT("'"&amp;"PEF_"&amp;$C76&amp;"'!F$83"),0)</f>
        <v>857684.73994495929</v>
      </c>
      <c r="E76" s="163">
        <f t="array" aca="1" ref="E76" ca="1">IFERROR(INDIRECT("'"&amp;"PEF_"&amp;$C76&amp;"'!I$83"),0)</f>
        <v>881394.48557092226</v>
      </c>
      <c r="F76" s="163">
        <f t="array" aca="1" ref="F76" ca="1">IFERROR(INDIRECT("'"&amp;"PEF_"&amp;$C76&amp;"'!L$83"),0)</f>
        <v>914658.74651471304</v>
      </c>
      <c r="G76" s="163">
        <f t="array" aca="1" ref="G76" ca="1">IFERROR(INDIRECT("'"&amp;"PEF_"&amp;$C76&amp;"'!O$83"),0)</f>
        <v>891286.60729261267</v>
      </c>
      <c r="I76" s="164">
        <v>857684.7412882864</v>
      </c>
      <c r="J76" s="164">
        <v>881394.48557092203</v>
      </c>
      <c r="K76" s="164">
        <v>914658.74651471304</v>
      </c>
      <c r="L76" s="164">
        <v>891286.60729261255</v>
      </c>
      <c r="N76" s="164">
        <f t="shared" ref="N76:N109" ca="1" si="8">D76-I76</f>
        <v>-1.3433271087706089E-3</v>
      </c>
      <c r="O76" s="164">
        <f t="shared" ref="O76:O109" ca="1" si="9">E76-J76</f>
        <v>0</v>
      </c>
      <c r="P76" s="164">
        <f t="shared" ref="P76:P109" ca="1" si="10">F76-K76</f>
        <v>0</v>
      </c>
      <c r="Q76" s="164">
        <f t="shared" ref="Q76:Q109" ca="1" si="11">G76-L76</f>
        <v>0</v>
      </c>
    </row>
    <row r="77" spans="2:17">
      <c r="B77" s="160" t="s">
        <v>117</v>
      </c>
      <c r="C77" s="161" t="s">
        <v>83</v>
      </c>
      <c r="D77" s="163">
        <f t="array" aca="1" ref="D77" ca="1">IFERROR(INDIRECT("'"&amp;"PEF_"&amp;$C77&amp;"'!F$83"),0)</f>
        <v>1121731.0146130524</v>
      </c>
      <c r="E77" s="163">
        <f t="array" aca="1" ref="E77" ca="1">IFERROR(INDIRECT("'"&amp;"PEF_"&amp;$C77&amp;"'!I$83"),0)</f>
        <v>1173627.8657911732</v>
      </c>
      <c r="F77" s="163">
        <f t="array" aca="1" ref="F77" ca="1">IFERROR(INDIRECT("'"&amp;"PEF_"&amp;$C77&amp;"'!L$83"),0)</f>
        <v>1214879.9211898386</v>
      </c>
      <c r="G77" s="163">
        <f t="array" aca="1" ref="G77" ca="1">IFERROR(INDIRECT("'"&amp;"PEF_"&amp;$C77&amp;"'!O$83"),0)</f>
        <v>1186579.6226542783</v>
      </c>
      <c r="I77" s="164">
        <v>1121731.0146130524</v>
      </c>
      <c r="J77" s="164">
        <v>1173627.8657911732</v>
      </c>
      <c r="K77" s="164">
        <v>1214879.921189839</v>
      </c>
      <c r="L77" s="164">
        <v>1186579.6226542783</v>
      </c>
      <c r="N77" s="164">
        <f t="shared" ca="1" si="8"/>
        <v>0</v>
      </c>
      <c r="O77" s="164">
        <f t="shared" ca="1" si="9"/>
        <v>0</v>
      </c>
      <c r="P77" s="164">
        <f t="shared" ca="1" si="10"/>
        <v>0</v>
      </c>
      <c r="Q77" s="164">
        <f t="shared" ca="1" si="11"/>
        <v>0</v>
      </c>
    </row>
    <row r="78" spans="2:17">
      <c r="B78" s="160" t="s">
        <v>117</v>
      </c>
      <c r="C78" s="161" t="s">
        <v>84</v>
      </c>
      <c r="D78" s="163">
        <f t="array" aca="1" ref="D78" ca="1">IFERROR(INDIRECT("'"&amp;"PEF_"&amp;$C78&amp;"'!F$83"),0)</f>
        <v>1552721.3493797258</v>
      </c>
      <c r="E78" s="163">
        <f t="array" aca="1" ref="E78" ca="1">IFERROR(INDIRECT("'"&amp;"PEF_"&amp;$C78&amp;"'!I$83"),0)</f>
        <v>1596890.3426088318</v>
      </c>
      <c r="F78" s="163">
        <f t="array" aca="1" ref="F78" ca="1">IFERROR(INDIRECT("'"&amp;"PEF_"&amp;$C78&amp;"'!L$83"),0)</f>
        <v>1621268.0969989332</v>
      </c>
      <c r="G78" s="163">
        <f t="array" aca="1" ref="G78" ca="1">IFERROR(INDIRECT("'"&amp;"PEF_"&amp;$C78&amp;"'!O$83"),0)</f>
        <v>1577707.8832060823</v>
      </c>
      <c r="I78" s="164">
        <v>1552721.1864113</v>
      </c>
      <c r="J78" s="164">
        <v>1596890.5055772576</v>
      </c>
      <c r="K78" s="164">
        <v>1621268.0969989332</v>
      </c>
      <c r="L78" s="164">
        <v>1577707.8832060823</v>
      </c>
      <c r="N78" s="164">
        <f t="shared" ca="1" si="8"/>
        <v>0.1629684257786721</v>
      </c>
      <c r="O78" s="164">
        <f t="shared" ca="1" si="9"/>
        <v>-0.1629684257786721</v>
      </c>
      <c r="P78" s="164">
        <f t="shared" ca="1" si="10"/>
        <v>0</v>
      </c>
      <c r="Q78" s="164">
        <f t="shared" ca="1" si="11"/>
        <v>0</v>
      </c>
    </row>
    <row r="79" spans="2:17">
      <c r="B79" s="160" t="s">
        <v>118</v>
      </c>
      <c r="C79" s="161" t="s">
        <v>85</v>
      </c>
      <c r="D79" s="163">
        <f t="array" aca="1" ref="D79" ca="1">IFERROR(INDIRECT("'"&amp;"PEF_"&amp;$C79&amp;"'!F$83"),0)</f>
        <v>5431646.5637279274</v>
      </c>
      <c r="E79" s="163">
        <f t="array" aca="1" ref="E79" ca="1">IFERROR(INDIRECT("'"&amp;"PEF_"&amp;$C79&amp;"'!I$83"),0)</f>
        <v>5708188.9056736007</v>
      </c>
      <c r="F79" s="163">
        <f t="array" aca="1" ref="F79" ca="1">IFERROR(INDIRECT("'"&amp;"PEF_"&amp;$C79&amp;"'!L$83"),0)</f>
        <v>5995981.0164367836</v>
      </c>
      <c r="G79" s="163">
        <f t="array" aca="1" ref="G79" ca="1">IFERROR(INDIRECT("'"&amp;"PEF_"&amp;$C79&amp;"'!O$83"),0)</f>
        <v>6160695.0773516223</v>
      </c>
      <c r="I79" s="164">
        <v>5431646.5637279265</v>
      </c>
      <c r="J79" s="164">
        <v>5708188.9056736007</v>
      </c>
      <c r="K79" s="164">
        <v>5995981.0164367827</v>
      </c>
      <c r="L79" s="164">
        <v>6160695.0773516214</v>
      </c>
      <c r="N79" s="164">
        <f t="shared" ca="1" si="8"/>
        <v>0</v>
      </c>
      <c r="O79" s="164">
        <f t="shared" ca="1" si="9"/>
        <v>0</v>
      </c>
      <c r="P79" s="164">
        <f t="shared" ca="1" si="10"/>
        <v>0</v>
      </c>
      <c r="Q79" s="164">
        <f t="shared" ca="1" si="11"/>
        <v>0</v>
      </c>
    </row>
    <row r="80" spans="2:17">
      <c r="B80" s="160" t="s">
        <v>118</v>
      </c>
      <c r="C80" s="161" t="s">
        <v>86</v>
      </c>
      <c r="D80" s="163">
        <f t="array" aca="1" ref="D80" ca="1">IFERROR(INDIRECT("'"&amp;"PEF_"&amp;$C80&amp;"'!F$83"),0)</f>
        <v>1984898.540370001</v>
      </c>
      <c r="E80" s="163">
        <f t="array" aca="1" ref="E80" ca="1">IFERROR(INDIRECT("'"&amp;"PEF_"&amp;$C80&amp;"'!I$83"),0)</f>
        <v>2113916.9454940511</v>
      </c>
      <c r="F80" s="163">
        <f t="array" aca="1" ref="F80" ca="1">IFERROR(INDIRECT("'"&amp;"PEF_"&amp;$C80&amp;"'!L$83"),0)</f>
        <v>2251321.5469511645</v>
      </c>
      <c r="G80" s="163">
        <f t="array" aca="1" ref="G80" ca="1">IFERROR(INDIRECT("'"&amp;"PEF_"&amp;$C80&amp;"'!O$83"),0)</f>
        <v>2397656.9987497707</v>
      </c>
      <c r="I80" s="164">
        <v>1984898.9358426596</v>
      </c>
      <c r="J80" s="164">
        <v>2113917.7329614628</v>
      </c>
      <c r="K80" s="164">
        <v>2251321.5180636421</v>
      </c>
      <c r="L80" s="164">
        <v>2397656.9779497702</v>
      </c>
      <c r="N80" s="164">
        <f t="shared" ca="1" si="8"/>
        <v>-0.39547265856526792</v>
      </c>
      <c r="O80" s="164">
        <f t="shared" ca="1" si="9"/>
        <v>-0.7874674117192626</v>
      </c>
      <c r="P80" s="164">
        <f t="shared" ca="1" si="10"/>
        <v>2.8887522406876087E-2</v>
      </c>
      <c r="Q80" s="164">
        <f t="shared" ca="1" si="11"/>
        <v>2.08000005222857E-2</v>
      </c>
    </row>
    <row r="81" spans="2:17">
      <c r="B81" s="160" t="s">
        <v>118</v>
      </c>
      <c r="C81" s="161" t="s">
        <v>87</v>
      </c>
      <c r="D81" s="163">
        <f t="array" aca="1" ref="D81" ca="1">IFERROR(INDIRECT("'"&amp;"PEF_"&amp;$C81&amp;"'!F$83"),0)</f>
        <v>762496.54042235797</v>
      </c>
      <c r="E81" s="163">
        <f t="array" aca="1" ref="E81" ca="1">IFERROR(INDIRECT("'"&amp;"PEF_"&amp;$C81&amp;"'!I$83"),0)</f>
        <v>781748.28350543091</v>
      </c>
      <c r="F81" s="163">
        <f t="array" aca="1" ref="F81" ca="1">IFERROR(INDIRECT("'"&amp;"PEF_"&amp;$C81&amp;"'!L$83"),0)</f>
        <v>794871.76597011648</v>
      </c>
      <c r="G81" s="163">
        <f t="array" aca="1" ref="G81" ca="1">IFERROR(INDIRECT("'"&amp;"PEF_"&amp;$C81&amp;"'!O$83"),0)</f>
        <v>802777.06560249254</v>
      </c>
      <c r="I81" s="164">
        <v>762496.78042235808</v>
      </c>
      <c r="J81" s="164">
        <v>781748.52350543067</v>
      </c>
      <c r="K81" s="164">
        <v>794871.76597011636</v>
      </c>
      <c r="L81" s="164">
        <v>802777.06560249231</v>
      </c>
      <c r="N81" s="164">
        <f t="shared" ca="1" si="8"/>
        <v>-0.2400000001071021</v>
      </c>
      <c r="O81" s="164">
        <f t="shared" ca="1" si="9"/>
        <v>-0.23999999975785613</v>
      </c>
      <c r="P81" s="164">
        <f t="shared" ca="1" si="10"/>
        <v>0</v>
      </c>
      <c r="Q81" s="164">
        <f t="shared" ca="1" si="11"/>
        <v>0</v>
      </c>
    </row>
    <row r="82" spans="2:17">
      <c r="B82" s="160" t="s">
        <v>118</v>
      </c>
      <c r="C82" s="161" t="s">
        <v>88</v>
      </c>
      <c r="D82" s="163">
        <f t="array" aca="1" ref="D82" ca="1">IFERROR(INDIRECT("'"&amp;"PEF_"&amp;$C82&amp;"'!F$83"),0)</f>
        <v>15559021.043690346</v>
      </c>
      <c r="E82" s="163">
        <f t="array" aca="1" ref="E82" ca="1">IFERROR(INDIRECT("'"&amp;"PEF_"&amp;$C82&amp;"'!I$83"),0)</f>
        <v>16311889.367720746</v>
      </c>
      <c r="F82" s="163">
        <f t="array" aca="1" ref="F82" ca="1">IFERROR(INDIRECT("'"&amp;"PEF_"&amp;$C82&amp;"'!L$83"),0)</f>
        <v>16710591.36909291</v>
      </c>
      <c r="G82" s="163">
        <f t="array" aca="1" ref="G82" ca="1">IFERROR(INDIRECT("'"&amp;"PEF_"&amp;$C82&amp;"'!O$83"),0)</f>
        <v>16993564.792770263</v>
      </c>
      <c r="I82" s="164">
        <v>15560913.428447284</v>
      </c>
      <c r="J82" s="164">
        <v>16313779.861983418</v>
      </c>
      <c r="K82" s="164">
        <v>16712481.863355579</v>
      </c>
      <c r="L82" s="164">
        <v>16995455.287032936</v>
      </c>
      <c r="N82" s="164">
        <f t="shared" ca="1" si="8"/>
        <v>-1892.384756937623</v>
      </c>
      <c r="O82" s="164">
        <f t="shared" ca="1" si="9"/>
        <v>-1890.4942626729608</v>
      </c>
      <c r="P82" s="164">
        <f t="shared" ca="1" si="10"/>
        <v>-1890.4942626692355</v>
      </c>
      <c r="Q82" s="164">
        <f t="shared" ca="1" si="11"/>
        <v>-1890.4942626729608</v>
      </c>
    </row>
    <row r="83" spans="2:17">
      <c r="B83" s="160" t="s">
        <v>118</v>
      </c>
      <c r="C83" s="161" t="s">
        <v>89</v>
      </c>
      <c r="D83" s="163">
        <f t="array" aca="1" ref="D83" ca="1">IFERROR(INDIRECT("'"&amp;"PEF_"&amp;$C83&amp;"'!F$83"),0)</f>
        <v>461599.23168975522</v>
      </c>
      <c r="E83" s="163">
        <f t="array" aca="1" ref="E83" ca="1">IFERROR(INDIRECT("'"&amp;"PEF_"&amp;$C83&amp;"'!I$83"),0)</f>
        <v>483432.89127302647</v>
      </c>
      <c r="F83" s="163">
        <f t="array" aca="1" ref="F83" ca="1">IFERROR(INDIRECT("'"&amp;"PEF_"&amp;$C83&amp;"'!L$83"),0)</f>
        <v>513146.73354089702</v>
      </c>
      <c r="G83" s="163">
        <f t="array" aca="1" ref="G83" ca="1">IFERROR(INDIRECT("'"&amp;"PEF_"&amp;$C83&amp;"'!O$83"),0)</f>
        <v>532769.2941565807</v>
      </c>
      <c r="I83" s="164">
        <v>461599.23168975522</v>
      </c>
      <c r="J83" s="164">
        <v>483432.89127302647</v>
      </c>
      <c r="K83" s="164">
        <v>513146.73354089708</v>
      </c>
      <c r="L83" s="164">
        <v>532769.29415658058</v>
      </c>
      <c r="N83" s="164">
        <f t="shared" ca="1" si="8"/>
        <v>0</v>
      </c>
      <c r="O83" s="164">
        <f t="shared" ca="1" si="9"/>
        <v>0</v>
      </c>
      <c r="P83" s="164">
        <f t="shared" ca="1" si="10"/>
        <v>0</v>
      </c>
      <c r="Q83" s="164">
        <f t="shared" ca="1" si="11"/>
        <v>0</v>
      </c>
    </row>
    <row r="84" spans="2:17">
      <c r="B84" s="160" t="s">
        <v>117</v>
      </c>
      <c r="C84" s="161" t="s">
        <v>90</v>
      </c>
      <c r="D84" s="163">
        <f t="array" aca="1" ref="D84" ca="1">IFERROR(INDIRECT("'"&amp;"PEF_"&amp;$C84&amp;"'!F$83"),0)</f>
        <v>2775222.2659077318</v>
      </c>
      <c r="E84" s="163">
        <f t="array" aca="1" ref="E84" ca="1">IFERROR(INDIRECT("'"&amp;"PEF_"&amp;$C84&amp;"'!I$83"),0)</f>
        <v>2890876.6433650116</v>
      </c>
      <c r="F84" s="163">
        <f t="array" aca="1" ref="F84" ca="1">IFERROR(INDIRECT("'"&amp;"PEF_"&amp;$C84&amp;"'!L$83"),0)</f>
        <v>2848817.1704162373</v>
      </c>
      <c r="G84" s="163">
        <f t="array" aca="1" ref="G84" ca="1">IFERROR(INDIRECT("'"&amp;"PEF_"&amp;$C84&amp;"'!O$83"),0)</f>
        <v>2766682.731479839</v>
      </c>
      <c r="I84" s="164">
        <v>2775222.2659077318</v>
      </c>
      <c r="J84" s="164">
        <v>2890876.6433650125</v>
      </c>
      <c r="K84" s="164">
        <v>2848817.1704162378</v>
      </c>
      <c r="L84" s="164">
        <v>2766682.7314798399</v>
      </c>
      <c r="N84" s="164">
        <f t="shared" ca="1" si="8"/>
        <v>0</v>
      </c>
      <c r="O84" s="164">
        <f t="shared" ca="1" si="9"/>
        <v>0</v>
      </c>
      <c r="P84" s="164">
        <f t="shared" ca="1" si="10"/>
        <v>0</v>
      </c>
      <c r="Q84" s="164">
        <f t="shared" ca="1" si="11"/>
        <v>0</v>
      </c>
    </row>
    <row r="85" spans="2:17">
      <c r="B85" s="160" t="s">
        <v>118</v>
      </c>
      <c r="C85" s="161" t="s">
        <v>91</v>
      </c>
      <c r="D85" s="163">
        <f t="array" aca="1" ref="D85" ca="1">IFERROR(INDIRECT("'"&amp;"PEF_"&amp;$C85&amp;"'!F$83"),0)</f>
        <v>2755731.1974322228</v>
      </c>
      <c r="E85" s="163">
        <f t="array" aca="1" ref="E85" ca="1">IFERROR(INDIRECT("'"&amp;"PEF_"&amp;$C85&amp;"'!I$83"),0)</f>
        <v>2853340.0909871031</v>
      </c>
      <c r="F85" s="163">
        <f t="array" aca="1" ref="F85" ca="1">IFERROR(INDIRECT("'"&amp;"PEF_"&amp;$C85&amp;"'!L$83"),0)</f>
        <v>2830579.6546001816</v>
      </c>
      <c r="G85" s="163">
        <f t="array" aca="1" ref="G85" ca="1">IFERROR(INDIRECT("'"&amp;"PEF_"&amp;$C85&amp;"'!O$83"),0)</f>
        <v>2859136.4318196974</v>
      </c>
      <c r="I85" s="164">
        <v>2755731.1974322232</v>
      </c>
      <c r="J85" s="164">
        <v>2853340.3659011028</v>
      </c>
      <c r="K85" s="164">
        <v>2830579.6546001812</v>
      </c>
      <c r="L85" s="164">
        <v>2859136.4318196969</v>
      </c>
      <c r="N85" s="164">
        <f t="shared" ca="1" si="8"/>
        <v>0</v>
      </c>
      <c r="O85" s="164">
        <f t="shared" ca="1" si="9"/>
        <v>-0.2749139997176826</v>
      </c>
      <c r="P85" s="164">
        <f t="shared" ca="1" si="10"/>
        <v>0</v>
      </c>
      <c r="Q85" s="164">
        <f t="shared" ca="1" si="11"/>
        <v>0</v>
      </c>
    </row>
    <row r="86" spans="2:17">
      <c r="B86" s="160" t="s">
        <v>117</v>
      </c>
      <c r="C86" s="161" t="s">
        <v>92</v>
      </c>
      <c r="D86" s="163">
        <f t="array" aca="1" ref="D86" ca="1">IFERROR(INDIRECT("'"&amp;"PEF_"&amp;$C86&amp;"'!F$83"),0)</f>
        <v>1155940.5277485</v>
      </c>
      <c r="E86" s="163">
        <f t="array" aca="1" ref="E86" ca="1">IFERROR(INDIRECT("'"&amp;"PEF_"&amp;$C86&amp;"'!I$83"),0)</f>
        <v>1231076.6620521524</v>
      </c>
      <c r="F86" s="163">
        <f t="array" aca="1" ref="F86" ca="1">IFERROR(INDIRECT("'"&amp;"PEF_"&amp;$C86&amp;"'!L$83"),0)</f>
        <v>1311095.8476871345</v>
      </c>
      <c r="G86" s="163">
        <f t="array" aca="1" ref="G86" ca="1">IFERROR(INDIRECT("'"&amp;"PEF_"&amp;$C86&amp;"'!O$83"),0)</f>
        <v>1396317.0777867981</v>
      </c>
      <c r="I86" s="164">
        <v>1155940.277900588</v>
      </c>
      <c r="J86" s="164">
        <v>1231076.4106693845</v>
      </c>
      <c r="K86" s="164">
        <v>1311095.8476871343</v>
      </c>
      <c r="L86" s="164">
        <v>1396317.1894278941</v>
      </c>
      <c r="N86" s="164">
        <f t="shared" ca="1" si="8"/>
        <v>0.24984791199676692</v>
      </c>
      <c r="O86" s="164">
        <f t="shared" ca="1" si="9"/>
        <v>0.25138276792131364</v>
      </c>
      <c r="P86" s="164">
        <f t="shared" ca="1" si="10"/>
        <v>0</v>
      </c>
      <c r="Q86" s="164">
        <f t="shared" ca="1" si="11"/>
        <v>-0.11164109595119953</v>
      </c>
    </row>
    <row r="87" spans="2:17">
      <c r="B87" s="160" t="s">
        <v>117</v>
      </c>
      <c r="C87" s="161" t="s">
        <v>93</v>
      </c>
      <c r="D87" s="163">
        <f t="array" aca="1" ref="D87" ca="1">IFERROR(INDIRECT("'"&amp;"PEF_"&amp;$C87&amp;"'!F$83"),0)</f>
        <v>526204.737525751</v>
      </c>
      <c r="E87" s="163">
        <f t="array" aca="1" ref="E87" ca="1">IFERROR(INDIRECT("'"&amp;"PEF_"&amp;$C87&amp;"'!I$83"),0)</f>
        <v>515822.33090014535</v>
      </c>
      <c r="F87" s="163">
        <f t="array" aca="1" ref="F87" ca="1">IFERROR(INDIRECT("'"&amp;"PEF_"&amp;$C87&amp;"'!L$83"),0)</f>
        <v>461268.7905112236</v>
      </c>
      <c r="G87" s="163">
        <f t="array" aca="1" ref="G87" ca="1">IFERROR(INDIRECT("'"&amp;"PEF_"&amp;$C87&amp;"'!O$83"),0)</f>
        <v>434357.98755445878</v>
      </c>
      <c r="I87" s="164">
        <v>526204.73752575112</v>
      </c>
      <c r="J87" s="164">
        <v>515822.33090014535</v>
      </c>
      <c r="K87" s="164">
        <v>461268.79051122355</v>
      </c>
      <c r="L87" s="164">
        <v>434357.98755445878</v>
      </c>
      <c r="N87" s="164">
        <f t="shared" ca="1" si="8"/>
        <v>0</v>
      </c>
      <c r="O87" s="164">
        <f t="shared" ca="1" si="9"/>
        <v>0</v>
      </c>
      <c r="P87" s="164">
        <f t="shared" ca="1" si="10"/>
        <v>0</v>
      </c>
      <c r="Q87" s="164">
        <f t="shared" ca="1" si="11"/>
        <v>0</v>
      </c>
    </row>
    <row r="88" spans="2:17">
      <c r="B88" s="160" t="s">
        <v>117</v>
      </c>
      <c r="C88" s="161" t="s">
        <v>94</v>
      </c>
      <c r="D88" s="163">
        <f t="array" aca="1" ref="D88" ca="1">IFERROR(INDIRECT("'"&amp;"PEF_"&amp;$C88&amp;"'!F$83"),0)</f>
        <v>909892.14595708321</v>
      </c>
      <c r="E88" s="163">
        <f t="array" aca="1" ref="E88" ca="1">IFERROR(INDIRECT("'"&amp;"PEF_"&amp;$C88&amp;"'!I$83"),0)</f>
        <v>969035.13544429361</v>
      </c>
      <c r="F88" s="163">
        <f t="array" aca="1" ref="F88" ca="1">IFERROR(INDIRECT("'"&amp;"PEF_"&amp;$C88&amp;"'!L$83"),0)</f>
        <v>1032021.8456470433</v>
      </c>
      <c r="G88" s="163">
        <f t="array" aca="1" ref="G88" ca="1">IFERROR(INDIRECT("'"&amp;"PEF_"&amp;$C88&amp;"'!O$83"),0)</f>
        <v>1017353.4117178412</v>
      </c>
      <c r="I88" s="164">
        <v>909891.8766143804</v>
      </c>
      <c r="J88" s="164">
        <v>969034.65746428131</v>
      </c>
      <c r="K88" s="164">
        <v>1032021.8456470431</v>
      </c>
      <c r="L88" s="164">
        <v>1017353.4117178408</v>
      </c>
      <c r="N88" s="164">
        <f t="shared" ca="1" si="8"/>
        <v>0.26934270281344652</v>
      </c>
      <c r="O88" s="164">
        <f t="shared" ca="1" si="9"/>
        <v>0.47798001230694354</v>
      </c>
      <c r="P88" s="164">
        <f t="shared" ca="1" si="10"/>
        <v>0</v>
      </c>
      <c r="Q88" s="164">
        <f t="shared" ca="1" si="11"/>
        <v>0</v>
      </c>
    </row>
    <row r="89" spans="2:17">
      <c r="B89" s="160" t="s">
        <v>118</v>
      </c>
      <c r="C89" s="161" t="s">
        <v>95</v>
      </c>
      <c r="D89" s="163">
        <f t="array" aca="1" ref="D89" ca="1">IFERROR(INDIRECT("'"&amp;"PEF_"&amp;$C89&amp;"'!F$83"),0)</f>
        <v>12583063.305741519</v>
      </c>
      <c r="E89" s="163">
        <f t="array" aca="1" ref="E89" ca="1">IFERROR(INDIRECT("'"&amp;"PEF_"&amp;$C89&amp;"'!I$83"),0)</f>
        <v>13165405.597811559</v>
      </c>
      <c r="F89" s="163">
        <f t="array" aca="1" ref="F89" ca="1">IFERROR(INDIRECT("'"&amp;"PEF_"&amp;$C89&amp;"'!L$83"),0)</f>
        <v>13517729.706171662</v>
      </c>
      <c r="G89" s="163">
        <f t="array" aca="1" ref="G89" ca="1">IFERROR(INDIRECT("'"&amp;"PEF_"&amp;$C89&amp;"'!O$83"),0)</f>
        <v>13688884.496477947</v>
      </c>
      <c r="I89" s="164">
        <v>12583063.305741521</v>
      </c>
      <c r="J89" s="164">
        <v>13165405.597811555</v>
      </c>
      <c r="K89" s="164">
        <v>13517729.706171658</v>
      </c>
      <c r="L89" s="164">
        <v>13688884.496477941</v>
      </c>
      <c r="N89" s="164">
        <f t="shared" ca="1" si="8"/>
        <v>0</v>
      </c>
      <c r="O89" s="164">
        <f t="shared" ca="1" si="9"/>
        <v>0</v>
      </c>
      <c r="P89" s="164">
        <f t="shared" ca="1" si="10"/>
        <v>0</v>
      </c>
      <c r="Q89" s="164">
        <f t="shared" ca="1" si="11"/>
        <v>0</v>
      </c>
    </row>
    <row r="90" spans="2:17">
      <c r="B90" s="160" t="s">
        <v>117</v>
      </c>
      <c r="C90" s="161" t="s">
        <v>96</v>
      </c>
      <c r="D90" s="163">
        <f t="array" aca="1" ref="D90" ca="1">IFERROR(INDIRECT("'"&amp;"PEF_"&amp;$C90&amp;"'!F$83"),0)</f>
        <v>2513351.45173366</v>
      </c>
      <c r="E90" s="163">
        <f t="array" aca="1" ref="E90" ca="1">IFERROR(INDIRECT("'"&amp;"PEF_"&amp;$C90&amp;"'!I$83"),0)</f>
        <v>2551658.6418525907</v>
      </c>
      <c r="F90" s="163">
        <f t="array" aca="1" ref="F90" ca="1">IFERROR(INDIRECT("'"&amp;"PEF_"&amp;$C90&amp;"'!L$83"),0)</f>
        <v>2598724.6727932557</v>
      </c>
      <c r="G90" s="163">
        <f t="array" aca="1" ref="G90" ca="1">IFERROR(INDIRECT("'"&amp;"PEF_"&amp;$C90&amp;"'!O$83"),0)</f>
        <v>2644982.6817804468</v>
      </c>
      <c r="I90" s="164">
        <v>2513351.5443894272</v>
      </c>
      <c r="J90" s="164">
        <v>2551658.6418525903</v>
      </c>
      <c r="K90" s="164">
        <v>2598724.6727932557</v>
      </c>
      <c r="L90" s="164">
        <v>2644982.6817804468</v>
      </c>
      <c r="N90" s="164">
        <f t="shared" ca="1" si="8"/>
        <v>-9.2655767221003771E-2</v>
      </c>
      <c r="O90" s="164">
        <f t="shared" ca="1" si="9"/>
        <v>0</v>
      </c>
      <c r="P90" s="164">
        <f t="shared" ca="1" si="10"/>
        <v>0</v>
      </c>
      <c r="Q90" s="164">
        <f t="shared" ca="1" si="11"/>
        <v>0</v>
      </c>
    </row>
    <row r="91" spans="2:17">
      <c r="B91" s="160" t="s">
        <v>118</v>
      </c>
      <c r="C91" s="161" t="s">
        <v>97</v>
      </c>
      <c r="D91" s="163">
        <f t="array" aca="1" ref="D91" ca="1">IFERROR(INDIRECT("'"&amp;"PEF_"&amp;$C91&amp;"'!F$83"),0)</f>
        <v>2984114.2939554788</v>
      </c>
      <c r="E91" s="163">
        <f t="array" aca="1" ref="E91" ca="1">IFERROR(INDIRECT("'"&amp;"PEF_"&amp;$C91&amp;"'!I$83"),0)</f>
        <v>3058019.69243713</v>
      </c>
      <c r="F91" s="163">
        <f t="array" aca="1" ref="F91" ca="1">IFERROR(INDIRECT("'"&amp;"PEF_"&amp;$C91&amp;"'!L$83"),0)</f>
        <v>3020218.4025140093</v>
      </c>
      <c r="G91" s="163">
        <f t="array" aca="1" ref="G91" ca="1">IFERROR(INDIRECT("'"&amp;"PEF_"&amp;$C91&amp;"'!O$83"),0)</f>
        <v>2993487.3981996677</v>
      </c>
      <c r="I91" s="164">
        <v>2991985.9477224508</v>
      </c>
      <c r="J91" s="164">
        <v>3096782.0850266488</v>
      </c>
      <c r="K91" s="164">
        <v>3058981.0888376231</v>
      </c>
      <c r="L91" s="164">
        <v>2993750.0845232811</v>
      </c>
      <c r="N91" s="164">
        <f t="shared" ca="1" si="8"/>
        <v>-7871.6537669720128</v>
      </c>
      <c r="O91" s="164">
        <f t="shared" ca="1" si="9"/>
        <v>-38762.3925895188</v>
      </c>
      <c r="P91" s="164">
        <f t="shared" ca="1" si="10"/>
        <v>-38762.68632361386</v>
      </c>
      <c r="Q91" s="164">
        <f t="shared" ca="1" si="11"/>
        <v>-262.68632361339405</v>
      </c>
    </row>
    <row r="92" spans="2:17">
      <c r="B92" s="160" t="s">
        <v>117</v>
      </c>
      <c r="C92" s="161" t="s">
        <v>98</v>
      </c>
      <c r="D92" s="163">
        <f t="array" aca="1" ref="D92" ca="1">IFERROR(INDIRECT("'"&amp;"PEF_"&amp;$C92&amp;"'!F$83"),0)</f>
        <v>808908.57006165665</v>
      </c>
      <c r="E92" s="163">
        <f t="array" aca="1" ref="E92" ca="1">IFERROR(INDIRECT("'"&amp;"PEF_"&amp;$C92&amp;"'!I$83"),0)</f>
        <v>862296.39192093443</v>
      </c>
      <c r="F92" s="163">
        <f t="array" aca="1" ref="F92" ca="1">IFERROR(INDIRECT("'"&amp;"PEF_"&amp;$C92&amp;"'!L$83"),0)</f>
        <v>919208.07279190258</v>
      </c>
      <c r="G92" s="163">
        <f t="array" aca="1" ref="G92" ca="1">IFERROR(INDIRECT("'"&amp;"PEF_"&amp;$C92&amp;"'!O$83"),0)</f>
        <v>979875.57882890524</v>
      </c>
      <c r="I92" s="164">
        <v>808908.73895866319</v>
      </c>
      <c r="J92" s="164">
        <v>862296.39192093443</v>
      </c>
      <c r="K92" s="164">
        <v>919208.07279190258</v>
      </c>
      <c r="L92" s="164">
        <v>979875.57882890524</v>
      </c>
      <c r="N92" s="164">
        <f t="shared" ca="1" si="8"/>
        <v>-0.16889700654428452</v>
      </c>
      <c r="O92" s="164">
        <f t="shared" ca="1" si="9"/>
        <v>0</v>
      </c>
      <c r="P92" s="164">
        <f t="shared" ca="1" si="10"/>
        <v>0</v>
      </c>
      <c r="Q92" s="164">
        <f t="shared" ca="1" si="11"/>
        <v>0</v>
      </c>
    </row>
    <row r="93" spans="2:17">
      <c r="B93" s="160" t="s">
        <v>117</v>
      </c>
      <c r="C93" s="161" t="s">
        <v>99</v>
      </c>
      <c r="D93" s="163">
        <f t="array" aca="1" ref="D93" ca="1">IFERROR(INDIRECT("'"&amp;"PEF_"&amp;$C93&amp;"'!F$83"),0)</f>
        <v>5792162.0153015638</v>
      </c>
      <c r="E93" s="163">
        <f t="array" aca="1" ref="E93" ca="1">IFERROR(INDIRECT("'"&amp;"PEF_"&amp;$C93&amp;"'!I$83"),0)</f>
        <v>6109967.0769499782</v>
      </c>
      <c r="F93" s="163">
        <f t="array" aca="1" ref="F93" ca="1">IFERROR(INDIRECT("'"&amp;"PEF_"&amp;$C93&amp;"'!L$83"),0)</f>
        <v>6176942.5904563349</v>
      </c>
      <c r="G93" s="163">
        <f t="array" aca="1" ref="G93" ca="1">IFERROR(INDIRECT("'"&amp;"PEF_"&amp;$C93&amp;"'!O$83"),0)</f>
        <v>6008136.1099094413</v>
      </c>
      <c r="I93" s="164">
        <v>5792162.0153015647</v>
      </c>
      <c r="J93" s="164">
        <v>6109967.0769499801</v>
      </c>
      <c r="K93" s="164">
        <v>6176942.5904563367</v>
      </c>
      <c r="L93" s="164">
        <v>6008136.1099094432</v>
      </c>
      <c r="N93" s="164">
        <f t="shared" ca="1" si="8"/>
        <v>0</v>
      </c>
      <c r="O93" s="164">
        <f t="shared" ca="1" si="9"/>
        <v>0</v>
      </c>
      <c r="P93" s="164">
        <f t="shared" ca="1" si="10"/>
        <v>0</v>
      </c>
      <c r="Q93" s="164">
        <f t="shared" ca="1" si="11"/>
        <v>0</v>
      </c>
    </row>
    <row r="94" spans="2:17">
      <c r="B94" s="160" t="s">
        <v>117</v>
      </c>
      <c r="C94" s="161" t="s">
        <v>100</v>
      </c>
      <c r="D94" s="163">
        <f t="array" aca="1" ref="D94" ca="1">IFERROR(INDIRECT("'"&amp;"PEF_"&amp;$C94&amp;"'!F$83"),0)</f>
        <v>3510856.0168301752</v>
      </c>
      <c r="E94" s="163">
        <f t="array" aca="1" ref="E94" ca="1">IFERROR(INDIRECT("'"&amp;"PEF_"&amp;$C94&amp;"'!I$83"),0)</f>
        <v>3543205.2042394336</v>
      </c>
      <c r="F94" s="163">
        <f t="array" aca="1" ref="F94" ca="1">IFERROR(INDIRECT("'"&amp;"PEF_"&amp;$C94&amp;"'!L$83"),0)</f>
        <v>3553685.266727292</v>
      </c>
      <c r="G94" s="163">
        <f t="array" aca="1" ref="G94" ca="1">IFERROR(INDIRECT("'"&amp;"PEF_"&amp;$C94&amp;"'!O$83"),0)</f>
        <v>3495485.793365181</v>
      </c>
      <c r="I94" s="164">
        <v>3515645.0092068189</v>
      </c>
      <c r="J94" s="164">
        <v>3547989.4124079081</v>
      </c>
      <c r="K94" s="164">
        <v>3558469.4748957665</v>
      </c>
      <c r="L94" s="164">
        <v>3500270.0015336559</v>
      </c>
      <c r="N94" s="164">
        <f t="shared" ca="1" si="8"/>
        <v>-4788.9923766436987</v>
      </c>
      <c r="O94" s="164">
        <f t="shared" ca="1" si="9"/>
        <v>-4784.2081684744917</v>
      </c>
      <c r="P94" s="164">
        <f t="shared" ca="1" si="10"/>
        <v>-4784.2081684744917</v>
      </c>
      <c r="Q94" s="164">
        <f t="shared" ca="1" si="11"/>
        <v>-4784.2081684749573</v>
      </c>
    </row>
    <row r="95" spans="2:17">
      <c r="B95" s="160" t="s">
        <v>118</v>
      </c>
      <c r="C95" s="161" t="s">
        <v>101</v>
      </c>
      <c r="D95" s="163">
        <f t="array" aca="1" ref="D95" ca="1">IFERROR(INDIRECT("'"&amp;"PEF_"&amp;$C95&amp;"'!F$83"),0)</f>
        <v>4535700.2291905303</v>
      </c>
      <c r="E95" s="163">
        <f t="array" aca="1" ref="E95" ca="1">IFERROR(INDIRECT("'"&amp;"PEF_"&amp;$C95&amp;"'!I$83"),0)</f>
        <v>4659293.309909624</v>
      </c>
      <c r="F95" s="163">
        <f t="array" aca="1" ref="F95" ca="1">IFERROR(INDIRECT("'"&amp;"PEF_"&amp;$C95&amp;"'!L$83"),0)</f>
        <v>4546774.7748434581</v>
      </c>
      <c r="G95" s="163">
        <f t="array" aca="1" ref="G95" ca="1">IFERROR(INDIRECT("'"&amp;"PEF_"&amp;$C95&amp;"'!O$83"),0)</f>
        <v>4407023.7616278511</v>
      </c>
      <c r="I95" s="164">
        <v>4535700.2291905293</v>
      </c>
      <c r="J95" s="164">
        <v>4659293.309909625</v>
      </c>
      <c r="K95" s="164">
        <v>4546774.774843459</v>
      </c>
      <c r="L95" s="164">
        <v>4407023.761627852</v>
      </c>
      <c r="N95" s="164">
        <f t="shared" ca="1" si="8"/>
        <v>0</v>
      </c>
      <c r="O95" s="164">
        <f t="shared" ca="1" si="9"/>
        <v>0</v>
      </c>
      <c r="P95" s="164">
        <f t="shared" ca="1" si="10"/>
        <v>0</v>
      </c>
      <c r="Q95" s="164">
        <f t="shared" ca="1" si="11"/>
        <v>0</v>
      </c>
    </row>
    <row r="96" spans="2:17">
      <c r="B96" s="160" t="s">
        <v>118</v>
      </c>
      <c r="C96" s="161" t="s">
        <v>102</v>
      </c>
      <c r="D96" s="163">
        <f t="array" aca="1" ref="D96" ca="1">IFERROR(INDIRECT("'"&amp;"PEF_"&amp;$C96&amp;"'!F$83"),0)</f>
        <v>1378762.4341840572</v>
      </c>
      <c r="E96" s="163">
        <f t="array" aca="1" ref="E96" ca="1">IFERROR(INDIRECT("'"&amp;"PEF_"&amp;$C96&amp;"'!I$83"),0)</f>
        <v>1380263.7571796007</v>
      </c>
      <c r="F96" s="163">
        <f t="array" aca="1" ref="F96" ca="1">IFERROR(INDIRECT("'"&amp;"PEF_"&amp;$C96&amp;"'!L$83"),0)</f>
        <v>1402565.8711600089</v>
      </c>
      <c r="G96" s="163">
        <f t="array" aca="1" ref="G96" ca="1">IFERROR(INDIRECT("'"&amp;"PEF_"&amp;$C96&amp;"'!O$83"),0)</f>
        <v>1421461.5756728842</v>
      </c>
      <c r="I96" s="164">
        <v>1378762.4341840572</v>
      </c>
      <c r="J96" s="164">
        <v>1380263.7571796009</v>
      </c>
      <c r="K96" s="164">
        <v>1402565.8711600092</v>
      </c>
      <c r="L96" s="164">
        <v>1421461.5756728845</v>
      </c>
      <c r="N96" s="164">
        <f t="shared" ca="1" si="8"/>
        <v>0</v>
      </c>
      <c r="O96" s="164">
        <f t="shared" ca="1" si="9"/>
        <v>0</v>
      </c>
      <c r="P96" s="164">
        <f t="shared" ca="1" si="10"/>
        <v>0</v>
      </c>
      <c r="Q96" s="164">
        <f t="shared" ca="1" si="11"/>
        <v>0</v>
      </c>
    </row>
    <row r="97" spans="2:17">
      <c r="B97" s="160" t="s">
        <v>118</v>
      </c>
      <c r="C97" s="161" t="s">
        <v>103</v>
      </c>
      <c r="D97" s="163">
        <f t="array" aca="1" ref="D97" ca="1">IFERROR(INDIRECT("'"&amp;"PEF_"&amp;$C97&amp;"'!F$83"),0)</f>
        <v>2325246.3820544034</v>
      </c>
      <c r="E97" s="163">
        <f t="array" aca="1" ref="E97" ca="1">IFERROR(INDIRECT("'"&amp;"PEF_"&amp;$C97&amp;"'!I$83"),0)</f>
        <v>2375145.3214241443</v>
      </c>
      <c r="F97" s="163">
        <f t="array" aca="1" ref="F97" ca="1">IFERROR(INDIRECT("'"&amp;"PEF_"&amp;$C97&amp;"'!L$83"),0)</f>
        <v>2425525.177523199</v>
      </c>
      <c r="G97" s="163">
        <f t="array" aca="1" ref="G97" ca="1">IFERROR(INDIRECT("'"&amp;"PEF_"&amp;$C97&amp;"'!O$83"),0)</f>
        <v>2437825.9176383195</v>
      </c>
      <c r="I97" s="164">
        <v>2324129.8820544034</v>
      </c>
      <c r="J97" s="164">
        <v>2368528.8214241443</v>
      </c>
      <c r="K97" s="164">
        <v>2425525.1775231985</v>
      </c>
      <c r="L97" s="164">
        <v>2421325.91763832</v>
      </c>
      <c r="N97" s="164">
        <f t="shared" ca="1" si="8"/>
        <v>1116.5</v>
      </c>
      <c r="O97" s="164">
        <f t="shared" ca="1" si="9"/>
        <v>6616.5</v>
      </c>
      <c r="P97" s="164">
        <f t="shared" ca="1" si="10"/>
        <v>0</v>
      </c>
      <c r="Q97" s="164">
        <f t="shared" ca="1" si="11"/>
        <v>16499.999999999534</v>
      </c>
    </row>
    <row r="98" spans="2:17">
      <c r="B98" s="160" t="s">
        <v>118</v>
      </c>
      <c r="C98" s="161" t="s">
        <v>104</v>
      </c>
      <c r="D98" s="163">
        <f t="array" aca="1" ref="D98" ca="1">IFERROR(INDIRECT("'"&amp;"PEF_"&amp;$C98&amp;"'!F$83"),0)</f>
        <v>1030698.2924039871</v>
      </c>
      <c r="E98" s="163">
        <f t="array" aca="1" ref="E98" ca="1">IFERROR(INDIRECT("'"&amp;"PEF_"&amp;$C98&amp;"'!I$83"),0)</f>
        <v>1018611.8656081983</v>
      </c>
      <c r="F98" s="163">
        <f t="array" aca="1" ref="F98" ca="1">IFERROR(INDIRECT("'"&amp;"PEF_"&amp;$C98&amp;"'!L$83"),0)</f>
        <v>1003566.4538366704</v>
      </c>
      <c r="G98" s="163">
        <f t="array" aca="1" ref="G98" ca="1">IFERROR(INDIRECT("'"&amp;"PEF_"&amp;$C98&amp;"'!O$83"),0)</f>
        <v>1025292.6600255428</v>
      </c>
      <c r="I98" s="164">
        <v>1030698.5064539871</v>
      </c>
      <c r="J98" s="164">
        <v>1018611.7438381985</v>
      </c>
      <c r="K98" s="164">
        <v>1003566.3320666705</v>
      </c>
      <c r="L98" s="164">
        <v>1025292.5382555431</v>
      </c>
      <c r="N98" s="164">
        <f t="shared" ca="1" si="8"/>
        <v>-0.21404999995138496</v>
      </c>
      <c r="O98" s="164">
        <f t="shared" ca="1" si="9"/>
        <v>0.121769999852404</v>
      </c>
      <c r="P98" s="164">
        <f t="shared" ca="1" si="10"/>
        <v>0.121769999852404</v>
      </c>
      <c r="Q98" s="164">
        <f t="shared" ca="1" si="11"/>
        <v>0.12176999973598868</v>
      </c>
    </row>
    <row r="99" spans="2:17">
      <c r="B99" s="160" t="s">
        <v>118</v>
      </c>
      <c r="C99" s="161" t="s">
        <v>105</v>
      </c>
      <c r="D99" s="163">
        <f t="array" aca="1" ref="D99" ca="1">IFERROR(INDIRECT("'"&amp;"PEF_"&amp;$C99&amp;"'!F$83"),0)</f>
        <v>1826756.2256819718</v>
      </c>
      <c r="E99" s="163">
        <f t="array" aca="1" ref="E99" ca="1">IFERROR(INDIRECT("'"&amp;"PEF_"&amp;$C99&amp;"'!I$83"),0)</f>
        <v>1945494.4853082723</v>
      </c>
      <c r="F99" s="163">
        <f t="array" aca="1" ref="F99" ca="1">IFERROR(INDIRECT("'"&amp;"PEF_"&amp;$C99&amp;"'!L$83"),0)</f>
        <v>2067781.4717203889</v>
      </c>
      <c r="G99" s="163">
        <f t="array" aca="1" ref="G99" ca="1">IFERROR(INDIRECT("'"&amp;"PEF_"&amp;$C99&amp;"'!O$83"),0)</f>
        <v>2142242.1349921888</v>
      </c>
      <c r="I99" s="164">
        <v>1826756.1650501688</v>
      </c>
      <c r="J99" s="164">
        <v>1945494.9398537269</v>
      </c>
      <c r="K99" s="164">
        <v>2067781.4717203882</v>
      </c>
      <c r="L99" s="164">
        <v>2142242.1349921888</v>
      </c>
      <c r="N99" s="164">
        <f t="shared" ca="1" si="8"/>
        <v>6.0631803004071116E-2</v>
      </c>
      <c r="O99" s="164">
        <f t="shared" ca="1" si="9"/>
        <v>-0.45454545458778739</v>
      </c>
      <c r="P99" s="164">
        <f t="shared" ca="1" si="10"/>
        <v>0</v>
      </c>
      <c r="Q99" s="164">
        <f t="shared" ca="1" si="11"/>
        <v>0</v>
      </c>
    </row>
    <row r="100" spans="2:17">
      <c r="B100" s="160" t="s">
        <v>117</v>
      </c>
      <c r="C100" s="161" t="s">
        <v>106</v>
      </c>
      <c r="D100" s="163">
        <f t="array" aca="1" ref="D100" ca="1">IFERROR(INDIRECT("'"&amp;"PEF_"&amp;$C100&amp;"'!F$83"),0)</f>
        <v>1262698.2631800007</v>
      </c>
      <c r="E100" s="163">
        <f t="array" aca="1" ref="E100" ca="1">IFERROR(INDIRECT("'"&amp;"PEF_"&amp;$C100&amp;"'!I$83"),0)</f>
        <v>1344773.6502867006</v>
      </c>
      <c r="F100" s="163">
        <f t="array" aca="1" ref="F100" ca="1">IFERROR(INDIRECT("'"&amp;"PEF_"&amp;$C100&amp;"'!L$83"),0)</f>
        <v>1432183.9375553359</v>
      </c>
      <c r="G100" s="163">
        <f t="array" aca="1" ref="G100" ca="1">IFERROR(INDIRECT("'"&amp;"PEF_"&amp;$C100&amp;"'!O$83"),0)</f>
        <v>1523996.7608763136</v>
      </c>
      <c r="I100" s="164">
        <v>1262698.7545158833</v>
      </c>
      <c r="J100" s="164">
        <v>1344773.7259738583</v>
      </c>
      <c r="K100" s="164">
        <v>1432184.3940437303</v>
      </c>
      <c r="L100" s="164">
        <v>1523996.7608763138</v>
      </c>
      <c r="N100" s="164">
        <f t="shared" ca="1" si="8"/>
        <v>-0.49133588257245719</v>
      </c>
      <c r="O100" s="164">
        <f t="shared" ca="1" si="9"/>
        <v>-7.568715768866241E-2</v>
      </c>
      <c r="P100" s="164">
        <f t="shared" ca="1" si="10"/>
        <v>-0.45648839441128075</v>
      </c>
      <c r="Q100" s="164">
        <f t="shared" ca="1" si="11"/>
        <v>0</v>
      </c>
    </row>
    <row r="101" spans="2:17">
      <c r="B101" s="160" t="s">
        <v>117</v>
      </c>
      <c r="C101" s="161" t="s">
        <v>107</v>
      </c>
      <c r="D101" s="163">
        <f t="array" aca="1" ref="D101" ca="1">IFERROR(INDIRECT("'"&amp;"PEF_"&amp;$C101&amp;"'!F$83"),0)</f>
        <v>1588983.5988071701</v>
      </c>
      <c r="E101" s="163">
        <f t="array" aca="1" ref="E101" ca="1">IFERROR(INDIRECT("'"&amp;"PEF_"&amp;$C101&amp;"'!I$83"),0)</f>
        <v>1660182.5134045975</v>
      </c>
      <c r="F101" s="163">
        <f t="array" aca="1" ref="F101" ca="1">IFERROR(INDIRECT("'"&amp;"PEF_"&amp;$C101&amp;"'!L$83"),0)</f>
        <v>1747922.4371681984</v>
      </c>
      <c r="G101" s="163">
        <f t="array" aca="1" ref="G101" ca="1">IFERROR(INDIRECT("'"&amp;"PEF_"&amp;$C101&amp;"'!O$83"),0)</f>
        <v>1750338.9648343015</v>
      </c>
      <c r="I101" s="164">
        <v>1588983.5988071698</v>
      </c>
      <c r="J101" s="164">
        <v>1660182.5134045971</v>
      </c>
      <c r="K101" s="164">
        <v>1747922.4371681982</v>
      </c>
      <c r="L101" s="164">
        <v>1750338.964834301</v>
      </c>
      <c r="N101" s="164">
        <f t="shared" ca="1" si="8"/>
        <v>0</v>
      </c>
      <c r="O101" s="164">
        <f t="shared" ca="1" si="9"/>
        <v>0</v>
      </c>
      <c r="P101" s="164">
        <f t="shared" ca="1" si="10"/>
        <v>0</v>
      </c>
      <c r="Q101" s="164">
        <f t="shared" ca="1" si="11"/>
        <v>0</v>
      </c>
    </row>
    <row r="102" spans="2:17">
      <c r="B102" s="160" t="s">
        <v>117</v>
      </c>
      <c r="C102" s="161" t="s">
        <v>108</v>
      </c>
      <c r="D102" s="163">
        <f t="array" aca="1" ref="D102" ca="1">IFERROR(INDIRECT("'"&amp;"PEF_"&amp;$C102&amp;"'!F$83"),0)</f>
        <v>6196446.9959018752</v>
      </c>
      <c r="E102" s="163">
        <f t="array" aca="1" ref="E102" ca="1">IFERROR(INDIRECT("'"&amp;"PEF_"&amp;$C102&amp;"'!I$83"),0)</f>
        <v>6605412.4975694353</v>
      </c>
      <c r="F102" s="163">
        <f t="array" aca="1" ref="F102" ca="1">IFERROR(INDIRECT("'"&amp;"PEF_"&amp;$C102&amp;"'!L$83"),0)</f>
        <v>7041369.7223429643</v>
      </c>
      <c r="G102" s="163">
        <f t="array" aca="1" ref="G102" ca="1">IFERROR(INDIRECT("'"&amp;"PEF_"&amp;$C102&amp;"'!O$83"),0)</f>
        <v>7506100.3906366173</v>
      </c>
      <c r="I102" s="164">
        <v>6196447.2662679972</v>
      </c>
      <c r="J102" s="164">
        <v>6605412.5865520202</v>
      </c>
      <c r="K102" s="164">
        <v>7041370.1037835153</v>
      </c>
      <c r="L102" s="164">
        <v>7506100.3906366173</v>
      </c>
      <c r="N102" s="164">
        <f t="shared" ca="1" si="8"/>
        <v>-0.27036612201482058</v>
      </c>
      <c r="O102" s="164">
        <f t="shared" ca="1" si="9"/>
        <v>-8.898258488625288E-2</v>
      </c>
      <c r="P102" s="164">
        <f t="shared" ca="1" si="10"/>
        <v>-0.38144055102020502</v>
      </c>
      <c r="Q102" s="164">
        <f t="shared" ca="1" si="11"/>
        <v>0</v>
      </c>
    </row>
    <row r="103" spans="2:17">
      <c r="B103" s="160" t="s">
        <v>117</v>
      </c>
      <c r="C103" s="161" t="s">
        <v>109</v>
      </c>
      <c r="D103" s="163">
        <f t="array" aca="1" ref="D103" ca="1">IFERROR(INDIRECT("'"&amp;"PEF_"&amp;$C103&amp;"'!F$83"),0)</f>
        <v>1942263.5964860623</v>
      </c>
      <c r="E103" s="163">
        <f t="array" aca="1" ref="E103" ca="1">IFERROR(INDIRECT("'"&amp;"PEF_"&amp;$C103&amp;"'!I$83"),0)</f>
        <v>1967388.4410354611</v>
      </c>
      <c r="F103" s="163">
        <f t="array" aca="1" ref="F103" ca="1">IFERROR(INDIRECT("'"&amp;"PEF_"&amp;$C103&amp;"'!L$83"),0)</f>
        <v>2097236.0781241278</v>
      </c>
      <c r="G103" s="163">
        <f t="array" aca="1" ref="G103" ca="1">IFERROR(INDIRECT("'"&amp;"PEF_"&amp;$C103&amp;"'!O$83"),0)</f>
        <v>2231487.6532692108</v>
      </c>
      <c r="I103" s="164">
        <v>1942462.1631930016</v>
      </c>
      <c r="J103" s="164">
        <v>1967586.8093740614</v>
      </c>
      <c r="K103" s="164">
        <v>2095480.1081708325</v>
      </c>
      <c r="L103" s="164">
        <v>2231686.0216078116</v>
      </c>
      <c r="N103" s="164">
        <f t="shared" ca="1" si="8"/>
        <v>-198.56670693936758</v>
      </c>
      <c r="O103" s="164">
        <f t="shared" ca="1" si="9"/>
        <v>-198.36833860026672</v>
      </c>
      <c r="P103" s="164">
        <f t="shared" ca="1" si="10"/>
        <v>1755.9699532953091</v>
      </c>
      <c r="Q103" s="164">
        <f t="shared" ca="1" si="11"/>
        <v>-198.36833860073239</v>
      </c>
    </row>
    <row r="104" spans="2:17">
      <c r="B104" s="160" t="s">
        <v>118</v>
      </c>
      <c r="C104" s="161" t="s">
        <v>110</v>
      </c>
      <c r="D104" s="163">
        <f t="array" aca="1" ref="D104" ca="1">IFERROR(INDIRECT("'"&amp;"PEF_"&amp;$C104&amp;"'!F$83"),0)</f>
        <v>2514671.4375133622</v>
      </c>
      <c r="E104" s="163">
        <f t="array" aca="1" ref="E104" ca="1">IFERROR(INDIRECT("'"&amp;"PEF_"&amp;$C104&amp;"'!I$83"),0)</f>
        <v>2604884.2724490841</v>
      </c>
      <c r="F104" s="163">
        <f t="array" aca="1" ref="F104" ca="1">IFERROR(INDIRECT("'"&amp;"PEF_"&amp;$C104&amp;"'!L$83"),0)</f>
        <v>2601593.6973310979</v>
      </c>
      <c r="G104" s="163">
        <f t="array" aca="1" ref="G104" ca="1">IFERROR(INDIRECT("'"&amp;"PEF_"&amp;$C104&amp;"'!O$83"),0)</f>
        <v>2557009.4702436994</v>
      </c>
      <c r="I104" s="164">
        <v>2514974.3078594035</v>
      </c>
      <c r="J104" s="164">
        <v>2605186.8402273483</v>
      </c>
      <c r="K104" s="164">
        <v>2601896.265109363</v>
      </c>
      <c r="L104" s="164">
        <v>2557312.0380219636</v>
      </c>
      <c r="N104" s="164">
        <f t="shared" ca="1" si="8"/>
        <v>-302.87034604139626</v>
      </c>
      <c r="O104" s="164">
        <f t="shared" ca="1" si="9"/>
        <v>-302.56777826417238</v>
      </c>
      <c r="P104" s="164">
        <f t="shared" ca="1" si="10"/>
        <v>-302.5677782651037</v>
      </c>
      <c r="Q104" s="164">
        <f t="shared" ca="1" si="11"/>
        <v>-302.56777826417238</v>
      </c>
    </row>
    <row r="105" spans="2:17">
      <c r="B105" s="160" t="s">
        <v>118</v>
      </c>
      <c r="C105" s="161" t="s">
        <v>111</v>
      </c>
      <c r="D105" s="163">
        <f t="array" aca="1" ref="D105" ca="1">IFERROR(INDIRECT("'"&amp;"PEF_"&amp;$C105&amp;"'!F$83"),0)</f>
        <v>3479201.5436999733</v>
      </c>
      <c r="E105" s="163">
        <f t="array" aca="1" ref="E105" ca="1">IFERROR(INDIRECT("'"&amp;"PEF_"&amp;$C105&amp;"'!I$83"),0)</f>
        <v>3586943.8310999428</v>
      </c>
      <c r="F105" s="163">
        <f t="array" aca="1" ref="F105" ca="1">IFERROR(INDIRECT("'"&amp;"PEF_"&amp;$C105&amp;"'!L$83"),0)</f>
        <v>3572980.6652501351</v>
      </c>
      <c r="G105" s="163">
        <f t="array" aca="1" ref="G105" ca="1">IFERROR(INDIRECT("'"&amp;"PEF_"&amp;$C105&amp;"'!O$83"),0)</f>
        <v>3572696.5658193184</v>
      </c>
      <c r="I105" s="164">
        <v>3479455.8709573378</v>
      </c>
      <c r="J105" s="164">
        <v>3587197.9042841219</v>
      </c>
      <c r="K105" s="164">
        <v>3573234.7384343147</v>
      </c>
      <c r="L105" s="164">
        <v>3572950.6390034975</v>
      </c>
      <c r="N105" s="164">
        <f t="shared" ca="1" si="8"/>
        <v>-254.32725736452267</v>
      </c>
      <c r="O105" s="164">
        <f t="shared" ca="1" si="9"/>
        <v>-254.07318417914212</v>
      </c>
      <c r="P105" s="164">
        <f t="shared" ca="1" si="10"/>
        <v>-254.07318417960778</v>
      </c>
      <c r="Q105" s="164">
        <f t="shared" ca="1" si="11"/>
        <v>-254.07318417914212</v>
      </c>
    </row>
    <row r="106" spans="2:17">
      <c r="B106" s="160" t="s">
        <v>117</v>
      </c>
      <c r="C106" s="161" t="s">
        <v>112</v>
      </c>
      <c r="D106" s="163">
        <f t="array" aca="1" ref="D106" ca="1">IFERROR(INDIRECT("'"&amp;"PEF_"&amp;$C106&amp;"'!F$83"),0)</f>
        <v>1074183.5356774512</v>
      </c>
      <c r="E106" s="163">
        <f t="array" aca="1" ref="E106" ca="1">IFERROR(INDIRECT("'"&amp;"PEF_"&amp;$C106&amp;"'!I$83"),0)</f>
        <v>1116955.4097177009</v>
      </c>
      <c r="F106" s="163">
        <f t="array" aca="1" ref="F106" ca="1">IFERROR(INDIRECT("'"&amp;"PEF_"&amp;$C106&amp;"'!L$83"),0)</f>
        <v>1162024.5340523287</v>
      </c>
      <c r="G106" s="163">
        <f t="array" aca="1" ref="G106" ca="1">IFERROR(INDIRECT("'"&amp;"PEF_"&amp;$C106&amp;"'!O$83"),0)</f>
        <v>1209346.4846171548</v>
      </c>
      <c r="I106" s="164">
        <v>1074183.5356774509</v>
      </c>
      <c r="J106" s="164">
        <v>1115613.4097177009</v>
      </c>
      <c r="K106" s="164">
        <v>1162024.5340523289</v>
      </c>
      <c r="L106" s="164">
        <v>1202263.4846171548</v>
      </c>
      <c r="N106" s="164">
        <f t="shared" ca="1" si="8"/>
        <v>0</v>
      </c>
      <c r="O106" s="164">
        <f t="shared" ca="1" si="9"/>
        <v>1342</v>
      </c>
      <c r="P106" s="164">
        <f t="shared" ca="1" si="10"/>
        <v>0</v>
      </c>
      <c r="Q106" s="164">
        <f t="shared" ca="1" si="11"/>
        <v>7083</v>
      </c>
    </row>
    <row r="107" spans="2:17">
      <c r="B107" s="160" t="s">
        <v>118</v>
      </c>
      <c r="C107" s="161" t="s">
        <v>113</v>
      </c>
      <c r="D107" s="163">
        <f t="array" aca="1" ref="D107" ca="1">IFERROR(INDIRECT("'"&amp;"PEF_"&amp;$C107&amp;"'!F$83"),0)</f>
        <v>640133.28282231872</v>
      </c>
      <c r="E107" s="163">
        <f t="array" aca="1" ref="E107" ca="1">IFERROR(INDIRECT("'"&amp;"PEF_"&amp;$C107&amp;"'!I$83"),0)</f>
        <v>656992.1275266849</v>
      </c>
      <c r="F107" s="163">
        <f t="array" aca="1" ref="F107" ca="1">IFERROR(INDIRECT("'"&amp;"PEF_"&amp;$C107&amp;"'!L$83"),0)</f>
        <v>654524.36037771404</v>
      </c>
      <c r="G107" s="163">
        <f t="array" aca="1" ref="G107" ca="1">IFERROR(INDIRECT("'"&amp;"PEF_"&amp;$C107&amp;"'!O$83"),0)</f>
        <v>649707.1997006723</v>
      </c>
      <c r="I107" s="164">
        <v>640375.99096329906</v>
      </c>
      <c r="J107" s="164">
        <v>656992.12752668501</v>
      </c>
      <c r="K107" s="164">
        <v>654524.36037771427</v>
      </c>
      <c r="L107" s="164">
        <v>649707.19970067241</v>
      </c>
      <c r="N107" s="164">
        <f t="shared" ca="1" si="8"/>
        <v>-242.70814098033588</v>
      </c>
      <c r="O107" s="164">
        <f t="shared" ca="1" si="9"/>
        <v>0</v>
      </c>
      <c r="P107" s="164">
        <f t="shared" ca="1" si="10"/>
        <v>0</v>
      </c>
      <c r="Q107" s="164">
        <f t="shared" ca="1" si="11"/>
        <v>0</v>
      </c>
    </row>
    <row r="108" spans="2:17">
      <c r="B108" s="160" t="s">
        <v>118</v>
      </c>
      <c r="C108" s="161" t="s">
        <v>114</v>
      </c>
      <c r="D108" s="163">
        <f t="array" aca="1" ref="D108" ca="1">IFERROR(INDIRECT("'"&amp;"PEF_"&amp;$C108&amp;"'!F$83"),0)</f>
        <v>107418992.02597168</v>
      </c>
      <c r="E108" s="163">
        <f t="array" aca="1" ref="E108" ca="1">IFERROR(INDIRECT("'"&amp;"PEF_"&amp;$C108&amp;"'!I$83"),0)</f>
        <v>109564010.93166091</v>
      </c>
      <c r="F108" s="163">
        <f t="array" aca="1" ref="F108" ca="1">IFERROR(INDIRECT("'"&amp;"PEF_"&amp;$C108&amp;"'!L$83"),0)</f>
        <v>110218717.89590922</v>
      </c>
      <c r="G108" s="163">
        <f t="array" aca="1" ref="G108" ca="1">IFERROR(INDIRECT("'"&amp;"PEF_"&amp;$C108&amp;"'!O$83"),0)</f>
        <v>110882875.7658281</v>
      </c>
      <c r="I108" s="164">
        <v>107425862.99387768</v>
      </c>
      <c r="J108" s="164">
        <v>109570874.60120204</v>
      </c>
      <c r="K108" s="164">
        <v>110225581.42926945</v>
      </c>
      <c r="L108" s="164">
        <v>110889739.71435007</v>
      </c>
      <c r="N108" s="164">
        <f t="shared" ca="1" si="8"/>
        <v>-6870.96790599823</v>
      </c>
      <c r="O108" s="164">
        <f t="shared" ca="1" si="9"/>
        <v>-6863.6695411354303</v>
      </c>
      <c r="P108" s="164">
        <f t="shared" ca="1" si="10"/>
        <v>-6863.5333602279425</v>
      </c>
      <c r="Q108" s="164">
        <f t="shared" ca="1" si="11"/>
        <v>-6863.9485219717026</v>
      </c>
    </row>
    <row r="109" spans="2:17">
      <c r="B109" s="160" t="s">
        <v>117</v>
      </c>
      <c r="C109" s="161" t="s">
        <v>115</v>
      </c>
      <c r="D109" s="163">
        <f t="array" aca="1" ref="D109" ca="1">IFERROR(INDIRECT("'"&amp;"PEF_"&amp;$C109&amp;"'!F$83"),0)</f>
        <v>1358279.0052081996</v>
      </c>
      <c r="E109" s="163">
        <f t="array" aca="1" ref="E109" ca="1">IFERROR(INDIRECT("'"&amp;"PEF_"&amp;$C109&amp;"'!I$83"),0)</f>
        <v>1446567.1405467326</v>
      </c>
      <c r="F109" s="163">
        <f t="array" aca="1" ref="F109" ca="1">IFERROR(INDIRECT("'"&amp;"PEF_"&amp;$C109&amp;"'!L$83"),0)</f>
        <v>1540593.5232440876</v>
      </c>
      <c r="G109" s="163">
        <f t="array" aca="1" ref="G109" ca="1">IFERROR(INDIRECT("'"&amp;"PEF_"&amp;$C109&amp;"'!O$83"),0)</f>
        <v>1587663.2324902159</v>
      </c>
      <c r="I109" s="164">
        <v>1358278.9278480052</v>
      </c>
      <c r="J109" s="164">
        <v>1446566.9264748695</v>
      </c>
      <c r="K109" s="164">
        <v>1540593.5232440876</v>
      </c>
      <c r="L109" s="164">
        <v>1587663.2324902157</v>
      </c>
      <c r="N109" s="164">
        <f t="shared" ca="1" si="8"/>
        <v>7.7360194409266114E-2</v>
      </c>
      <c r="O109" s="164">
        <f t="shared" ca="1" si="9"/>
        <v>0.21407186309807003</v>
      </c>
      <c r="P109" s="164">
        <f t="shared" ca="1" si="10"/>
        <v>0</v>
      </c>
      <c r="Q109" s="164">
        <f t="shared" ca="1" si="11"/>
        <v>0</v>
      </c>
    </row>
    <row r="112" spans="2:17">
      <c r="C112" s="162" t="s">
        <v>122</v>
      </c>
      <c r="D112" s="162">
        <v>2022</v>
      </c>
      <c r="E112" s="162">
        <v>2023</v>
      </c>
      <c r="F112" s="162">
        <v>2024</v>
      </c>
      <c r="G112" s="162">
        <v>2025</v>
      </c>
      <c r="I112" s="162">
        <v>2022</v>
      </c>
      <c r="J112" s="162">
        <v>2023</v>
      </c>
      <c r="K112" s="162">
        <v>2024</v>
      </c>
      <c r="L112" s="162">
        <v>2025</v>
      </c>
      <c r="N112" s="162">
        <v>2022</v>
      </c>
      <c r="O112" s="162">
        <v>2023</v>
      </c>
      <c r="P112" s="162">
        <v>2024</v>
      </c>
      <c r="Q112" s="162">
        <v>2025</v>
      </c>
    </row>
    <row r="113" spans="2:17">
      <c r="B113" s="160" t="s">
        <v>117</v>
      </c>
      <c r="C113" s="161" t="s">
        <v>82</v>
      </c>
      <c r="D113" s="163">
        <f t="array" aca="1" ref="D113" ca="1">IFERROR(INDIRECT("'"&amp;"PEF_"&amp;$C113&amp;"'!D$20"),0)+IFERROR(INDIRECT("'"&amp;"PEF_"&amp;$C113&amp;"'!D$44"),0)</f>
        <v>-17419.919999999998</v>
      </c>
      <c r="E113" s="163">
        <f t="array" aca="1" ref="E113" ca="1">IFERROR(INDIRECT("'"&amp;"PEF_"&amp;$C113&amp;"'!g$20"),0)+IFERROR(INDIRECT("'"&amp;"PEF_"&amp;$C113&amp;"'!g$44"),0)</f>
        <v>-19198.88188681833</v>
      </c>
      <c r="F113" s="163">
        <f t="array" aca="1" ref="F113" ca="1">IFERROR(INDIRECT("'"&amp;"PEF_"&amp;$C113&amp;"'!j$20"),0)+IFERROR(INDIRECT("'"&amp;"PEF_"&amp;$C113&amp;"'!j$44"),0)</f>
        <v>18719.04</v>
      </c>
      <c r="G113" s="163">
        <f t="array" aca="1" ref="G113" ca="1">IFERROR(INDIRECT("'"&amp;"PEF_"&amp;$C113&amp;"'!m$20"),0)+IFERROR(INDIRECT("'"&amp;"PEF_"&amp;$C113&amp;"'!m$44"),0)</f>
        <v>0</v>
      </c>
      <c r="I113" s="164">
        <v>-17419.918656672657</v>
      </c>
      <c r="J113" s="164">
        <v>-19198.881886818323</v>
      </c>
      <c r="K113" s="164">
        <v>18719.04</v>
      </c>
      <c r="L113" s="164">
        <v>0</v>
      </c>
      <c r="N113" s="164">
        <f t="shared" ref="N113:N146" ca="1" si="12">D113-I113</f>
        <v>-1.3433273416012526E-3</v>
      </c>
      <c r="O113" s="164">
        <f t="shared" ref="O113:O146" ca="1" si="13">E113-J113</f>
        <v>0</v>
      </c>
      <c r="P113" s="164">
        <f t="shared" ref="P113:P146" ca="1" si="14">F113-K113</f>
        <v>0</v>
      </c>
      <c r="Q113" s="164">
        <f t="shared" ref="Q113:Q146" ca="1" si="15">G113-L113</f>
        <v>0</v>
      </c>
    </row>
    <row r="114" spans="2:17">
      <c r="B114" s="160" t="s">
        <v>117</v>
      </c>
      <c r="C114" s="161" t="s">
        <v>83</v>
      </c>
      <c r="D114" s="163">
        <f t="array" aca="1" ref="D114" ca="1">IFERROR(INDIRECT("'"&amp;"PEF_"&amp;$C114&amp;"'!D$20"),0)+IFERROR(INDIRECT("'"&amp;"PEF_"&amp;$C114&amp;"'!D$44"),0)</f>
        <v>-48851.988724631839</v>
      </c>
      <c r="E114" s="163">
        <f t="array" aca="1" ref="E114" ca="1">IFERROR(INDIRECT("'"&amp;"PEF_"&amp;$C114&amp;"'!g$20"),0)+IFERROR(INDIRECT("'"&amp;"PEF_"&amp;$C114&amp;"'!g$44"),0)</f>
        <v>-27635.68206960721</v>
      </c>
      <c r="F114" s="163">
        <f t="array" aca="1" ref="F114" ca="1">IFERROR(INDIRECT("'"&amp;"PEF_"&amp;$C114&amp;"'!j$20"),0)+IFERROR(INDIRECT("'"&amp;"PEF_"&amp;$C114&amp;"'!j$44"),0)</f>
        <v>20962.32</v>
      </c>
      <c r="G114" s="163">
        <f t="array" aca="1" ref="G114" ca="1">IFERROR(INDIRECT("'"&amp;"PEF_"&amp;$C114&amp;"'!m$20"),0)+IFERROR(INDIRECT("'"&amp;"PEF_"&amp;$C114&amp;"'!m$44"),0)</f>
        <v>0</v>
      </c>
      <c r="I114" s="164">
        <v>-48851.988724631832</v>
      </c>
      <c r="J114" s="164">
        <v>-27635.682069607203</v>
      </c>
      <c r="K114" s="164">
        <v>20962.32</v>
      </c>
      <c r="L114" s="164">
        <v>0</v>
      </c>
      <c r="N114" s="164">
        <f t="shared" ca="1" si="12"/>
        <v>0</v>
      </c>
      <c r="O114" s="164">
        <f t="shared" ca="1" si="13"/>
        <v>0</v>
      </c>
      <c r="P114" s="164">
        <f t="shared" ca="1" si="14"/>
        <v>0</v>
      </c>
      <c r="Q114" s="164">
        <f t="shared" ca="1" si="15"/>
        <v>0</v>
      </c>
    </row>
    <row r="115" spans="2:17">
      <c r="B115" s="160" t="s">
        <v>117</v>
      </c>
      <c r="C115" s="161" t="s">
        <v>84</v>
      </c>
      <c r="D115" s="163">
        <f t="array" aca="1" ref="D115" ca="1">IFERROR(INDIRECT("'"&amp;"PEF_"&amp;$C115&amp;"'!D$20"),0)+IFERROR(INDIRECT("'"&amp;"PEF_"&amp;$C115&amp;"'!D$44"),0)</f>
        <v>29384.245218605603</v>
      </c>
      <c r="E115" s="163">
        <f t="array" aca="1" ref="E115" ca="1">IFERROR(INDIRECT("'"&amp;"PEF_"&amp;$C115&amp;"'!g$20"),0)+IFERROR(INDIRECT("'"&amp;"PEF_"&amp;$C115&amp;"'!g$44"),0)</f>
        <v>-22822.830722479295</v>
      </c>
      <c r="F115" s="163">
        <f t="array" aca="1" ref="F115" ca="1">IFERROR(INDIRECT("'"&amp;"PEF_"&amp;$C115&amp;"'!j$20"),0)+IFERROR(INDIRECT("'"&amp;"PEF_"&amp;$C115&amp;"'!j$44"),0)</f>
        <v>35636.760000000009</v>
      </c>
      <c r="G115" s="163">
        <f t="array" aca="1" ref="G115" ca="1">IFERROR(INDIRECT("'"&amp;"PEF_"&amp;$C115&amp;"'!m$20"),0)+IFERROR(INDIRECT("'"&amp;"PEF_"&amp;$C115&amp;"'!m$44"),0)</f>
        <v>0</v>
      </c>
      <c r="I115" s="164">
        <v>29384.245218605603</v>
      </c>
      <c r="J115" s="164">
        <v>-22822.830722479295</v>
      </c>
      <c r="K115" s="164">
        <v>35636.760000000009</v>
      </c>
      <c r="L115" s="164">
        <v>0</v>
      </c>
      <c r="N115" s="164">
        <f t="shared" ca="1" si="12"/>
        <v>0</v>
      </c>
      <c r="O115" s="164">
        <f t="shared" ca="1" si="13"/>
        <v>0</v>
      </c>
      <c r="P115" s="164">
        <f t="shared" ca="1" si="14"/>
        <v>0</v>
      </c>
      <c r="Q115" s="164">
        <f t="shared" ca="1" si="15"/>
        <v>0</v>
      </c>
    </row>
    <row r="116" spans="2:17">
      <c r="B116" s="160" t="s">
        <v>118</v>
      </c>
      <c r="C116" s="161" t="s">
        <v>85</v>
      </c>
      <c r="D116" s="163">
        <f t="array" aca="1" ref="D116" ca="1">IFERROR(INDIRECT("'"&amp;"PEF_"&amp;$C116&amp;"'!D$20"),0)+IFERROR(INDIRECT("'"&amp;"PEF_"&amp;$C116&amp;"'!D$44"),0)</f>
        <v>-167201.35008959554</v>
      </c>
      <c r="E116" s="163">
        <f t="array" aca="1" ref="E116" ca="1">IFERROR(INDIRECT("'"&amp;"PEF_"&amp;$C116&amp;"'!g$20"),0)+IFERROR(INDIRECT("'"&amp;"PEF_"&amp;$C116&amp;"'!g$44"),0)</f>
        <v>40267.270268140652</v>
      </c>
      <c r="F116" s="163">
        <f t="array" aca="1" ref="F116" ca="1">IFERROR(INDIRECT("'"&amp;"PEF_"&amp;$C116&amp;"'!j$20"),0)+IFERROR(INDIRECT("'"&amp;"PEF_"&amp;$C116&amp;"'!j$44"),0)</f>
        <v>339527.22864471667</v>
      </c>
      <c r="G116" s="163">
        <f t="array" aca="1" ref="G116" ca="1">IFERROR(INDIRECT("'"&amp;"PEF_"&amp;$C116&amp;"'!m$20"),0)+IFERROR(INDIRECT("'"&amp;"PEF_"&amp;$C116&amp;"'!m$44"),0)</f>
        <v>500000</v>
      </c>
      <c r="I116" s="164">
        <v>-167201.35008959557</v>
      </c>
      <c r="J116" s="164">
        <v>40267.270268140652</v>
      </c>
      <c r="K116" s="164">
        <v>339527.22864471667</v>
      </c>
      <c r="L116" s="164">
        <v>500000</v>
      </c>
      <c r="N116" s="164">
        <f t="shared" ca="1" si="12"/>
        <v>0</v>
      </c>
      <c r="O116" s="164">
        <f t="shared" ca="1" si="13"/>
        <v>0</v>
      </c>
      <c r="P116" s="164">
        <f t="shared" ca="1" si="14"/>
        <v>0</v>
      </c>
      <c r="Q116" s="164">
        <f t="shared" ca="1" si="15"/>
        <v>0</v>
      </c>
    </row>
    <row r="117" spans="2:17">
      <c r="B117" s="160" t="s">
        <v>118</v>
      </c>
      <c r="C117" s="161" t="s">
        <v>86</v>
      </c>
      <c r="D117" s="163">
        <f t="array" aca="1" ref="D117" ca="1">IFERROR(INDIRECT("'"&amp;"PEF_"&amp;$C117&amp;"'!D$20"),0)+IFERROR(INDIRECT("'"&amp;"PEF_"&amp;$C117&amp;"'!D$44"),0)</f>
        <v>51378.050177767494</v>
      </c>
      <c r="E117" s="163">
        <f t="array" aca="1" ref="E117" ca="1">IFERROR(INDIRECT("'"&amp;"PEF_"&amp;$C117&amp;"'!g$20"),0)+IFERROR(INDIRECT("'"&amp;"PEF_"&amp;$C117&amp;"'!g$44"),0)</f>
        <v>99276.606678124212</v>
      </c>
      <c r="F117" s="163">
        <f t="array" aca="1" ref="F117" ca="1">IFERROR(INDIRECT("'"&amp;"PEF_"&amp;$C117&amp;"'!j$20"),0)+IFERROR(INDIRECT("'"&amp;"PEF_"&amp;$C117&amp;"'!j$44"),0)</f>
        <v>20069.499999999996</v>
      </c>
      <c r="G117" s="163">
        <f t="array" aca="1" ref="G117" ca="1">IFERROR(INDIRECT("'"&amp;"PEF_"&amp;$C117&amp;"'!m$20"),0)+IFERROR(INDIRECT("'"&amp;"PEF_"&amp;$C117&amp;"'!m$44"),0)</f>
        <v>0</v>
      </c>
      <c r="I117" s="164">
        <v>51378.050177767487</v>
      </c>
      <c r="J117" s="164">
        <v>99276.606678124212</v>
      </c>
      <c r="K117" s="164">
        <v>20069.499999999996</v>
      </c>
      <c r="L117" s="164">
        <v>0</v>
      </c>
      <c r="N117" s="164">
        <f t="shared" ca="1" si="12"/>
        <v>0</v>
      </c>
      <c r="O117" s="164">
        <f t="shared" ca="1" si="13"/>
        <v>0</v>
      </c>
      <c r="P117" s="164">
        <f t="shared" ca="1" si="14"/>
        <v>0</v>
      </c>
      <c r="Q117" s="164">
        <f t="shared" ca="1" si="15"/>
        <v>0</v>
      </c>
    </row>
    <row r="118" spans="2:17">
      <c r="B118" s="160" t="s">
        <v>118</v>
      </c>
      <c r="C118" s="161" t="s">
        <v>87</v>
      </c>
      <c r="D118" s="163">
        <f t="array" aca="1" ref="D118" ca="1">IFERROR(INDIRECT("'"&amp;"PEF_"&amp;$C118&amp;"'!D$20"),0)+IFERROR(INDIRECT("'"&amp;"PEF_"&amp;$C118&amp;"'!D$44"),0)</f>
        <v>-20880.347766749404</v>
      </c>
      <c r="E118" s="163">
        <f t="array" aca="1" ref="E118" ca="1">IFERROR(INDIRECT("'"&amp;"PEF_"&amp;$C118&amp;"'!g$20"),0)+IFERROR(INDIRECT("'"&amp;"PEF_"&amp;$C118&amp;"'!g$44"),0)</f>
        <v>-23522.490035579514</v>
      </c>
      <c r="F118" s="163">
        <f t="array" aca="1" ref="F118" ca="1">IFERROR(INDIRECT("'"&amp;"PEF_"&amp;$C118&amp;"'!j$20"),0)+IFERROR(INDIRECT("'"&amp;"PEF_"&amp;$C118&amp;"'!j$44"),0)</f>
        <v>-4194.8099999999995</v>
      </c>
      <c r="G118" s="163">
        <f t="array" aca="1" ref="G118" ca="1">IFERROR(INDIRECT("'"&amp;"PEF_"&amp;$C118&amp;"'!m$20"),0)+IFERROR(INDIRECT("'"&amp;"PEF_"&amp;$C118&amp;"'!m$44"),0)</f>
        <v>0</v>
      </c>
      <c r="I118" s="164">
        <v>-20880.347766749408</v>
      </c>
      <c r="J118" s="164">
        <v>-23522.490035579514</v>
      </c>
      <c r="K118" s="164">
        <v>-4194.8099999999995</v>
      </c>
      <c r="L118" s="164">
        <v>0</v>
      </c>
      <c r="N118" s="164">
        <f t="shared" ca="1" si="12"/>
        <v>0</v>
      </c>
      <c r="O118" s="164">
        <f t="shared" ca="1" si="13"/>
        <v>0</v>
      </c>
      <c r="P118" s="164">
        <f t="shared" ca="1" si="14"/>
        <v>0</v>
      </c>
      <c r="Q118" s="164">
        <f t="shared" ca="1" si="15"/>
        <v>0</v>
      </c>
    </row>
    <row r="119" spans="2:17">
      <c r="B119" s="160" t="s">
        <v>118</v>
      </c>
      <c r="C119" s="161" t="s">
        <v>88</v>
      </c>
      <c r="D119" s="163">
        <f t="array" aca="1" ref="D119" ca="1">IFERROR(INDIRECT("'"&amp;"PEF_"&amp;$C119&amp;"'!D$20"),0)+IFERROR(INDIRECT("'"&amp;"PEF_"&amp;$C119&amp;"'!D$44"),0)</f>
        <v>-295943.38531953795</v>
      </c>
      <c r="E119" s="163">
        <f t="array" aca="1" ref="E119" ca="1">IFERROR(INDIRECT("'"&amp;"PEF_"&amp;$C119&amp;"'!g$20"),0)+IFERROR(INDIRECT("'"&amp;"PEF_"&amp;$C119&amp;"'!g$44"),0)</f>
        <v>-341744.56672004424</v>
      </c>
      <c r="F119" s="163">
        <f t="array" aca="1" ref="F119" ca="1">IFERROR(INDIRECT("'"&amp;"PEF_"&amp;$C119&amp;"'!j$20"),0)+IFERROR(INDIRECT("'"&amp;"PEF_"&amp;$C119&amp;"'!j$44"),0)</f>
        <v>-115889.34874999999</v>
      </c>
      <c r="G119" s="163">
        <f t="array" aca="1" ref="G119" ca="1">IFERROR(INDIRECT("'"&amp;"PEF_"&amp;$C119&amp;"'!m$20"),0)+IFERROR(INDIRECT("'"&amp;"PEF_"&amp;$C119&amp;"'!m$44"),0)</f>
        <v>0</v>
      </c>
      <c r="I119" s="164">
        <v>-295943.38531953865</v>
      </c>
      <c r="J119" s="164">
        <v>-341744.56672004459</v>
      </c>
      <c r="K119" s="164">
        <v>-115889.34874999999</v>
      </c>
      <c r="L119" s="164">
        <v>0</v>
      </c>
      <c r="N119" s="164">
        <f t="shared" ca="1" si="12"/>
        <v>6.9849193096160889E-10</v>
      </c>
      <c r="O119" s="164">
        <f t="shared" ca="1" si="13"/>
        <v>0</v>
      </c>
      <c r="P119" s="164">
        <f t="shared" ca="1" si="14"/>
        <v>0</v>
      </c>
      <c r="Q119" s="164">
        <f t="shared" ca="1" si="15"/>
        <v>0</v>
      </c>
    </row>
    <row r="120" spans="2:17">
      <c r="B120" s="160" t="s">
        <v>118</v>
      </c>
      <c r="C120" s="161" t="s">
        <v>89</v>
      </c>
      <c r="D120" s="163">
        <f t="array" aca="1" ref="D120" ca="1">IFERROR(INDIRECT("'"&amp;"PEF_"&amp;$C120&amp;"'!D$20"),0)+IFERROR(INDIRECT("'"&amp;"PEF_"&amp;$C120&amp;"'!D$44"),0)</f>
        <v>-11787.750868406278</v>
      </c>
      <c r="E120" s="163">
        <f t="array" aca="1" ref="E120" ca="1">IFERROR(INDIRECT("'"&amp;"PEF_"&amp;$C120&amp;"'!g$20"),0)+IFERROR(INDIRECT("'"&amp;"PEF_"&amp;$C120&amp;"'!g$44"),0)</f>
        <v>1204.5410457326288</v>
      </c>
      <c r="F120" s="163">
        <f t="array" aca="1" ref="F120" ca="1">IFERROR(INDIRECT("'"&amp;"PEF_"&amp;$C120&amp;"'!j$20"),0)+IFERROR(INDIRECT("'"&amp;"PEF_"&amp;$C120&amp;"'!j$44"),0)</f>
        <v>31961.353999999999</v>
      </c>
      <c r="G120" s="163">
        <f t="array" aca="1" ref="G120" ca="1">IFERROR(INDIRECT("'"&amp;"PEF_"&amp;$C120&amp;"'!m$20"),0)+IFERROR(INDIRECT("'"&amp;"PEF_"&amp;$C120&amp;"'!m$44"),0)</f>
        <v>55000</v>
      </c>
      <c r="I120" s="164">
        <v>-11787.750868406292</v>
      </c>
      <c r="J120" s="164">
        <v>1204.5410457326288</v>
      </c>
      <c r="K120" s="164">
        <v>31961.353999999999</v>
      </c>
      <c r="L120" s="164">
        <v>55000</v>
      </c>
      <c r="N120" s="164">
        <f t="shared" ca="1" si="12"/>
        <v>1.4551915228366852E-11</v>
      </c>
      <c r="O120" s="164">
        <f t="shared" ca="1" si="13"/>
        <v>0</v>
      </c>
      <c r="P120" s="164">
        <f t="shared" ca="1" si="14"/>
        <v>0</v>
      </c>
      <c r="Q120" s="164">
        <f t="shared" ca="1" si="15"/>
        <v>0</v>
      </c>
    </row>
    <row r="121" spans="2:17">
      <c r="B121" s="160" t="s">
        <v>117</v>
      </c>
      <c r="C121" s="161" t="s">
        <v>90</v>
      </c>
      <c r="D121" s="163">
        <f t="array" aca="1" ref="D121" ca="1">IFERROR(INDIRECT("'"&amp;"PEF_"&amp;$C121&amp;"'!D$20"),0)+IFERROR(INDIRECT("'"&amp;"PEF_"&amp;$C121&amp;"'!D$44"),0)</f>
        <v>130216.1649395267</v>
      </c>
      <c r="E121" s="163">
        <f t="array" aca="1" ref="E121" ca="1">IFERROR(INDIRECT("'"&amp;"PEF_"&amp;$C121&amp;"'!g$20"),0)+IFERROR(INDIRECT("'"&amp;"PEF_"&amp;$C121&amp;"'!g$44"),0)</f>
        <v>185321.31880866675</v>
      </c>
      <c r="F121" s="163">
        <f t="array" aca="1" ref="F121" ca="1">IFERROR(INDIRECT("'"&amp;"PEF_"&amp;$C121&amp;"'!j$20"),0)+IFERROR(INDIRECT("'"&amp;"PEF_"&amp;$C121&amp;"'!j$44"),0)</f>
        <v>153704.51874999999</v>
      </c>
      <c r="G121" s="163">
        <f t="array" aca="1" ref="G121" ca="1">IFERROR(INDIRECT("'"&amp;"PEF_"&amp;$C121&amp;"'!m$20"),0)+IFERROR(INDIRECT("'"&amp;"PEF_"&amp;$C121&amp;"'!m$44"),0)</f>
        <v>88630</v>
      </c>
      <c r="I121" s="164">
        <v>130216.16493952673</v>
      </c>
      <c r="J121" s="164">
        <v>185321.31880866675</v>
      </c>
      <c r="K121" s="164">
        <v>153704.51874999999</v>
      </c>
      <c r="L121" s="164">
        <v>88630</v>
      </c>
      <c r="N121" s="164">
        <f t="shared" ca="1" si="12"/>
        <v>0</v>
      </c>
      <c r="O121" s="164">
        <f t="shared" ca="1" si="13"/>
        <v>0</v>
      </c>
      <c r="P121" s="164">
        <f t="shared" ca="1" si="14"/>
        <v>0</v>
      </c>
      <c r="Q121" s="164">
        <f t="shared" ca="1" si="15"/>
        <v>0</v>
      </c>
    </row>
    <row r="122" spans="2:17">
      <c r="B122" s="160" t="s">
        <v>118</v>
      </c>
      <c r="C122" s="161" t="s">
        <v>91</v>
      </c>
      <c r="D122" s="163">
        <f t="array" aca="1" ref="D122" ca="1">IFERROR(INDIRECT("'"&amp;"PEF_"&amp;$C122&amp;"'!D$20"),0)+IFERROR(INDIRECT("'"&amp;"PEF_"&amp;$C122&amp;"'!D$44"),0)</f>
        <v>-14726.599976112018</v>
      </c>
      <c r="E122" s="163">
        <f t="array" aca="1" ref="E122" ca="1">IFERROR(INDIRECT("'"&amp;"PEF_"&amp;$C122&amp;"'!g$20"),0)+IFERROR(INDIRECT("'"&amp;"PEF_"&amp;$C122&amp;"'!g$44"),0)</f>
        <v>-24138.50309587628</v>
      </c>
      <c r="F122" s="163">
        <f t="array" aca="1" ref="F122" ca="1">IFERROR(INDIRECT("'"&amp;"PEF_"&amp;$C122&amp;"'!j$20"),0)+IFERROR(INDIRECT("'"&amp;"PEF_"&amp;$C122&amp;"'!j$44"),0)</f>
        <v>-12851.781250000004</v>
      </c>
      <c r="G122" s="163">
        <f t="array" aca="1" ref="G122" ca="1">IFERROR(INDIRECT("'"&amp;"PEF_"&amp;$C122&amp;"'!m$20"),0)+IFERROR(INDIRECT("'"&amp;"PEF_"&amp;$C122&amp;"'!m$44"),0)</f>
        <v>0</v>
      </c>
      <c r="I122" s="164">
        <v>-14726.599976111967</v>
      </c>
      <c r="J122" s="164">
        <v>-24138.503095876273</v>
      </c>
      <c r="K122" s="164">
        <v>-12851.781250000004</v>
      </c>
      <c r="L122" s="164">
        <v>0</v>
      </c>
      <c r="N122" s="164">
        <f t="shared" ca="1" si="12"/>
        <v>-5.0931703299283981E-11</v>
      </c>
      <c r="O122" s="164">
        <f t="shared" ca="1" si="13"/>
        <v>0</v>
      </c>
      <c r="P122" s="164">
        <f t="shared" ca="1" si="14"/>
        <v>0</v>
      </c>
      <c r="Q122" s="164">
        <f t="shared" ca="1" si="15"/>
        <v>0</v>
      </c>
    </row>
    <row r="123" spans="2:17">
      <c r="B123" s="160" t="s">
        <v>117</v>
      </c>
      <c r="C123" s="161" t="s">
        <v>92</v>
      </c>
      <c r="D123" s="163">
        <f t="array" aca="1" ref="D123" ca="1">IFERROR(INDIRECT("'"&amp;"PEF_"&amp;$C123&amp;"'!D$20"),0)+IFERROR(INDIRECT("'"&amp;"PEF_"&amp;$C123&amp;"'!D$44"),0)</f>
        <v>43645.002615806661</v>
      </c>
      <c r="E123" s="163">
        <f t="array" aca="1" ref="E123" ca="1">IFERROR(INDIRECT("'"&amp;"PEF_"&amp;$C123&amp;"'!g$20"),0)+IFERROR(INDIRECT("'"&amp;"PEF_"&amp;$C123&amp;"'!g$44"),0)</f>
        <v>239698.76739633572</v>
      </c>
      <c r="F123" s="163">
        <f t="array" aca="1" ref="F123" ca="1">IFERROR(INDIRECT("'"&amp;"PEF_"&amp;$C123&amp;"'!j$20"),0)+IFERROR(INDIRECT("'"&amp;"PEF_"&amp;$C123&amp;"'!j$44"),0)</f>
        <v>24877.631250000002</v>
      </c>
      <c r="G123" s="163">
        <f t="array" aca="1" ref="G123" ca="1">IFERROR(INDIRECT("'"&amp;"PEF_"&amp;$C123&amp;"'!m$20"),0)+IFERROR(INDIRECT("'"&amp;"PEF_"&amp;$C123&amp;"'!m$44"),0)</f>
        <v>0</v>
      </c>
      <c r="I123" s="164">
        <v>43645.002615806661</v>
      </c>
      <c r="J123" s="164">
        <v>230712.88105370535</v>
      </c>
      <c r="K123" s="164">
        <v>24877.631250000002</v>
      </c>
      <c r="L123" s="164">
        <v>0</v>
      </c>
      <c r="N123" s="164">
        <f t="shared" ca="1" si="12"/>
        <v>0</v>
      </c>
      <c r="O123" s="164">
        <f t="shared" ca="1" si="13"/>
        <v>8985.8863426303724</v>
      </c>
      <c r="P123" s="164">
        <f t="shared" ca="1" si="14"/>
        <v>0</v>
      </c>
      <c r="Q123" s="164">
        <f t="shared" ca="1" si="15"/>
        <v>0</v>
      </c>
    </row>
    <row r="124" spans="2:17">
      <c r="B124" s="160" t="s">
        <v>117</v>
      </c>
      <c r="C124" s="161" t="s">
        <v>93</v>
      </c>
      <c r="D124" s="163">
        <f t="array" aca="1" ref="D124" ca="1">IFERROR(INDIRECT("'"&amp;"PEF_"&amp;$C124&amp;"'!D$20"),0)+IFERROR(INDIRECT("'"&amp;"PEF_"&amp;$C124&amp;"'!D$44"),0)</f>
        <v>-33635.392163317476</v>
      </c>
      <c r="E124" s="163">
        <f t="array" aca="1" ref="E124" ca="1">IFERROR(INDIRECT("'"&amp;"PEF_"&amp;$C124&amp;"'!g$20"),0)+IFERROR(INDIRECT("'"&amp;"PEF_"&amp;$C124&amp;"'!g$44"),0)</f>
        <v>-14038.111439944129</v>
      </c>
      <c r="F124" s="163">
        <f t="array" aca="1" ref="F124" ca="1">IFERROR(INDIRECT("'"&amp;"PEF_"&amp;$C124&amp;"'!j$20"),0)+IFERROR(INDIRECT("'"&amp;"PEF_"&amp;$C124&amp;"'!j$44"),0)</f>
        <v>-52361.471250000002</v>
      </c>
      <c r="G124" s="163">
        <f t="array" aca="1" ref="G124" ca="1">IFERROR(INDIRECT("'"&amp;"PEF_"&amp;$C124&amp;"'!m$20"),0)+IFERROR(INDIRECT("'"&amp;"PEF_"&amp;$C124&amp;"'!m$44"),0)</f>
        <v>-75000</v>
      </c>
      <c r="I124" s="164">
        <v>-33635.392163317476</v>
      </c>
      <c r="J124" s="164">
        <v>-14038.111439944129</v>
      </c>
      <c r="K124" s="164">
        <v>-52361.471250000002</v>
      </c>
      <c r="L124" s="164">
        <v>-75000</v>
      </c>
      <c r="N124" s="164">
        <f t="shared" ca="1" si="12"/>
        <v>0</v>
      </c>
      <c r="O124" s="164">
        <f t="shared" ca="1" si="13"/>
        <v>0</v>
      </c>
      <c r="P124" s="164">
        <f t="shared" ca="1" si="14"/>
        <v>0</v>
      </c>
      <c r="Q124" s="164">
        <f t="shared" ca="1" si="15"/>
        <v>0</v>
      </c>
    </row>
    <row r="125" spans="2:17">
      <c r="B125" s="160" t="s">
        <v>117</v>
      </c>
      <c r="C125" s="161" t="s">
        <v>94</v>
      </c>
      <c r="D125" s="163">
        <f t="array" aca="1" ref="D125" ca="1">IFERROR(INDIRECT("'"&amp;"PEF_"&amp;$C125&amp;"'!D$20"),0)+IFERROR(INDIRECT("'"&amp;"PEF_"&amp;$C125&amp;"'!D$44"),0)</f>
        <v>84689.124257147749</v>
      </c>
      <c r="E125" s="163">
        <f t="array" aca="1" ref="E125" ca="1">IFERROR(INDIRECT("'"&amp;"PEF_"&amp;$C125&amp;"'!g$20"),0)+IFERROR(INDIRECT("'"&amp;"PEF_"&amp;$C125&amp;"'!g$44"),0)</f>
        <v>20190.321618600286</v>
      </c>
      <c r="F125" s="163">
        <f t="array" aca="1" ref="F125" ca="1">IFERROR(INDIRECT("'"&amp;"PEF_"&amp;$C125&amp;"'!j$20"),0)+IFERROR(INDIRECT("'"&amp;"PEF_"&amp;$C125&amp;"'!j$44"),0)</f>
        <v>19503.240000000005</v>
      </c>
      <c r="G125" s="163">
        <f t="array" aca="1" ref="G125" ca="1">IFERROR(INDIRECT("'"&amp;"PEF_"&amp;$C125&amp;"'!m$20"),0)+IFERROR(INDIRECT("'"&amp;"PEF_"&amp;$C125&amp;"'!m$44"),0)</f>
        <v>0</v>
      </c>
      <c r="I125" s="164">
        <v>84689.124257147763</v>
      </c>
      <c r="J125" s="164">
        <v>20190.321618600286</v>
      </c>
      <c r="K125" s="164">
        <v>19503.240000000005</v>
      </c>
      <c r="L125" s="164">
        <v>0</v>
      </c>
      <c r="N125" s="164">
        <f t="shared" ca="1" si="12"/>
        <v>0</v>
      </c>
      <c r="O125" s="164">
        <f t="shared" ca="1" si="13"/>
        <v>0</v>
      </c>
      <c r="P125" s="164">
        <f t="shared" ca="1" si="14"/>
        <v>0</v>
      </c>
      <c r="Q125" s="164">
        <f t="shared" ca="1" si="15"/>
        <v>0</v>
      </c>
    </row>
    <row r="126" spans="2:17">
      <c r="B126" s="160" t="s">
        <v>118</v>
      </c>
      <c r="C126" s="161" t="s">
        <v>95</v>
      </c>
      <c r="D126" s="163">
        <f t="array" aca="1" ref="D126" ca="1">IFERROR(INDIRECT("'"&amp;"PEF_"&amp;$C126&amp;"'!D$20"),0)+IFERROR(INDIRECT("'"&amp;"PEF_"&amp;$C126&amp;"'!D$44"),0)</f>
        <v>-343846.6013658978</v>
      </c>
      <c r="E126" s="163">
        <f t="array" aca="1" ref="E126" ca="1">IFERROR(INDIRECT("'"&amp;"PEF_"&amp;$C126&amp;"'!g$20"),0)+IFERROR(INDIRECT("'"&amp;"PEF_"&amp;$C126&amp;"'!g$44"),0)</f>
        <v>-274103.3156188454</v>
      </c>
      <c r="F126" s="163">
        <f t="array" aca="1" ref="F126" ca="1">IFERROR(INDIRECT("'"&amp;"PEF_"&amp;$C126&amp;"'!j$20"),0)+IFERROR(INDIRECT("'"&amp;"PEF_"&amp;$C126&amp;"'!j$44"),0)</f>
        <v>-94550.591249999983</v>
      </c>
      <c r="G126" s="163">
        <f t="array" aca="1" ref="G126" ca="1">IFERROR(INDIRECT("'"&amp;"PEF_"&amp;$C126&amp;"'!m$20"),0)+IFERROR(INDIRECT("'"&amp;"PEF_"&amp;$C126&amp;"'!m$44"),0)</f>
        <v>90000</v>
      </c>
      <c r="I126" s="164">
        <v>-343846.6013658978</v>
      </c>
      <c r="J126" s="164">
        <v>-274103.3156188454</v>
      </c>
      <c r="K126" s="164">
        <v>-94550.591249999998</v>
      </c>
      <c r="L126" s="164">
        <v>90000</v>
      </c>
      <c r="N126" s="164">
        <f t="shared" ca="1" si="12"/>
        <v>0</v>
      </c>
      <c r="O126" s="164">
        <f t="shared" ca="1" si="13"/>
        <v>0</v>
      </c>
      <c r="P126" s="164">
        <f t="shared" ca="1" si="14"/>
        <v>0</v>
      </c>
      <c r="Q126" s="164">
        <f t="shared" ca="1" si="15"/>
        <v>0</v>
      </c>
    </row>
    <row r="127" spans="2:17">
      <c r="B127" s="160" t="s">
        <v>117</v>
      </c>
      <c r="C127" s="161" t="s">
        <v>96</v>
      </c>
      <c r="D127" s="163">
        <f t="array" aca="1" ref="D127" ca="1">IFERROR(INDIRECT("'"&amp;"PEF_"&amp;$C127&amp;"'!D$20"),0)+IFERROR(INDIRECT("'"&amp;"PEF_"&amp;$C127&amp;"'!D$44"),0)</f>
        <v>-68969.827786037989</v>
      </c>
      <c r="E127" s="163">
        <f t="array" aca="1" ref="E127" ca="1">IFERROR(INDIRECT("'"&amp;"PEF_"&amp;$C127&amp;"'!g$20"),0)+IFERROR(INDIRECT("'"&amp;"PEF_"&amp;$C127&amp;"'!g$44"),0)</f>
        <v>-109123.74466582862</v>
      </c>
      <c r="F127" s="163">
        <f t="array" aca="1" ref="F127" ca="1">IFERROR(INDIRECT("'"&amp;"PEF_"&amp;$C127&amp;"'!j$20"),0)+IFERROR(INDIRECT("'"&amp;"PEF_"&amp;$C127&amp;"'!j$44"),0)</f>
        <v>-38714.657000000007</v>
      </c>
      <c r="G127" s="163">
        <f t="array" aca="1" ref="G127" ca="1">IFERROR(INDIRECT("'"&amp;"PEF_"&amp;$C127&amp;"'!m$20"),0)+IFERROR(INDIRECT("'"&amp;"PEF_"&amp;$C127&amp;"'!m$44"),0)</f>
        <v>0</v>
      </c>
      <c r="I127" s="164">
        <v>-68969.73513027119</v>
      </c>
      <c r="J127" s="164">
        <v>-109123.74466582864</v>
      </c>
      <c r="K127" s="164">
        <v>-38714.657000000007</v>
      </c>
      <c r="L127" s="164">
        <v>0</v>
      </c>
      <c r="N127" s="164">
        <f t="shared" ca="1" si="12"/>
        <v>-9.2655766798998229E-2</v>
      </c>
      <c r="O127" s="164">
        <f t="shared" ca="1" si="13"/>
        <v>0</v>
      </c>
      <c r="P127" s="164">
        <f t="shared" ca="1" si="14"/>
        <v>0</v>
      </c>
      <c r="Q127" s="164">
        <f t="shared" ca="1" si="15"/>
        <v>0</v>
      </c>
    </row>
    <row r="128" spans="2:17">
      <c r="B128" s="160" t="s">
        <v>118</v>
      </c>
      <c r="C128" s="161" t="s">
        <v>97</v>
      </c>
      <c r="D128" s="163">
        <f t="array" aca="1" ref="D128" ca="1">IFERROR(INDIRECT("'"&amp;"PEF_"&amp;$C128&amp;"'!D$20"),0)+IFERROR(INDIRECT("'"&amp;"PEF_"&amp;$C128&amp;"'!D$44"),0)</f>
        <v>84447.925659035565</v>
      </c>
      <c r="E128" s="163">
        <f t="array" aca="1" ref="E128" ca="1">IFERROR(INDIRECT("'"&amp;"PEF_"&amp;$C128&amp;"'!g$20"),0)+IFERROR(INDIRECT("'"&amp;"PEF_"&amp;$C128&amp;"'!g$44"),0)</f>
        <v>75525.095712298265</v>
      </c>
      <c r="F128" s="163">
        <f t="array" aca="1" ref="F128" ca="1">IFERROR(INDIRECT("'"&amp;"PEF_"&amp;$C128&amp;"'!j$20"),0)+IFERROR(INDIRECT("'"&amp;"PEF_"&amp;$C128&amp;"'!j$44"),0)</f>
        <v>32644.763999999996</v>
      </c>
      <c r="G128" s="163">
        <f t="array" aca="1" ref="G128" ca="1">IFERROR(INDIRECT("'"&amp;"PEF_"&amp;$C128&amp;"'!m$20"),0)+IFERROR(INDIRECT("'"&amp;"PEF_"&amp;$C128&amp;"'!m$44"),0)</f>
        <v>0</v>
      </c>
      <c r="I128" s="164">
        <v>91365.197281637156</v>
      </c>
      <c r="J128" s="164">
        <v>110525.09571229827</v>
      </c>
      <c r="K128" s="164">
        <v>67644.763999999996</v>
      </c>
      <c r="L128" s="164">
        <v>0</v>
      </c>
      <c r="N128" s="164">
        <f t="shared" ca="1" si="12"/>
        <v>-6917.2716226015909</v>
      </c>
      <c r="O128" s="164">
        <f t="shared" ca="1" si="13"/>
        <v>-35000</v>
      </c>
      <c r="P128" s="164">
        <f t="shared" ca="1" si="14"/>
        <v>-35000</v>
      </c>
      <c r="Q128" s="164">
        <f t="shared" ca="1" si="15"/>
        <v>0</v>
      </c>
    </row>
    <row r="129" spans="2:17">
      <c r="B129" s="160" t="s">
        <v>117</v>
      </c>
      <c r="C129" s="161" t="s">
        <v>98</v>
      </c>
      <c r="D129" s="163">
        <f t="array" aca="1" ref="D129" ca="1">IFERROR(INDIRECT("'"&amp;"PEF_"&amp;$C129&amp;"'!D$20"),0)+IFERROR(INDIRECT("'"&amp;"PEF_"&amp;$C129&amp;"'!D$44"),0)</f>
        <v>-22133.469654956221</v>
      </c>
      <c r="E129" s="163">
        <f t="array" aca="1" ref="E129" ca="1">IFERROR(INDIRECT("'"&amp;"PEF_"&amp;$C129&amp;"'!g$20"),0)+IFERROR(INDIRECT("'"&amp;"PEF_"&amp;$C129&amp;"'!g$44"),0)</f>
        <v>105960.57298639967</v>
      </c>
      <c r="F129" s="163">
        <f t="array" aca="1" ref="F129" ca="1">IFERROR(INDIRECT("'"&amp;"PEF_"&amp;$C129&amp;"'!j$20"),0)+IFERROR(INDIRECT("'"&amp;"PEF_"&amp;$C129&amp;"'!j$44"),0)</f>
        <v>10057.65525</v>
      </c>
      <c r="G129" s="163">
        <f t="array" aca="1" ref="G129" ca="1">IFERROR(INDIRECT("'"&amp;"PEF_"&amp;$C129&amp;"'!m$20"),0)+IFERROR(INDIRECT("'"&amp;"PEF_"&amp;$C129&amp;"'!m$44"),0)</f>
        <v>0</v>
      </c>
      <c r="I129" s="164">
        <v>-22133.469654956214</v>
      </c>
      <c r="J129" s="164">
        <v>105960.57298639967</v>
      </c>
      <c r="K129" s="164">
        <v>10057.65525</v>
      </c>
      <c r="L129" s="164">
        <v>0</v>
      </c>
      <c r="N129" s="164">
        <f t="shared" ca="1" si="12"/>
        <v>0</v>
      </c>
      <c r="O129" s="164">
        <f t="shared" ca="1" si="13"/>
        <v>0</v>
      </c>
      <c r="P129" s="164">
        <f t="shared" ca="1" si="14"/>
        <v>0</v>
      </c>
      <c r="Q129" s="164">
        <f t="shared" ca="1" si="15"/>
        <v>0</v>
      </c>
    </row>
    <row r="130" spans="2:17">
      <c r="B130" s="160" t="s">
        <v>117</v>
      </c>
      <c r="C130" s="161" t="s">
        <v>99</v>
      </c>
      <c r="D130" s="163">
        <f t="array" aca="1" ref="D130" ca="1">IFERROR(INDIRECT("'"&amp;"PEF_"&amp;$C130&amp;"'!D$20"),0)+IFERROR(INDIRECT("'"&amp;"PEF_"&amp;$C130&amp;"'!D$44"),0)</f>
        <v>-230117.81342736699</v>
      </c>
      <c r="E130" s="163">
        <f t="array" aca="1" ref="E130" ca="1">IFERROR(INDIRECT("'"&amp;"PEF_"&amp;$C130&amp;"'!g$20"),0)+IFERROR(INDIRECT("'"&amp;"PEF_"&amp;$C130&amp;"'!g$44"),0)</f>
        <v>16878.763143221149</v>
      </c>
      <c r="F130" s="163">
        <f t="array" aca="1" ref="F130" ca="1">IFERROR(INDIRECT("'"&amp;"PEF_"&amp;$C130&amp;"'!j$20"),0)+IFERROR(INDIRECT("'"&amp;"PEF_"&amp;$C130&amp;"'!j$44"),0)</f>
        <v>107943.45</v>
      </c>
      <c r="G130" s="163">
        <f t="array" aca="1" ref="G130" ca="1">IFERROR(INDIRECT("'"&amp;"PEF_"&amp;$C130&amp;"'!m$20"),0)+IFERROR(INDIRECT("'"&amp;"PEF_"&amp;$C130&amp;"'!m$44"),0)</f>
        <v>0</v>
      </c>
      <c r="I130" s="164">
        <v>-230117.81342736733</v>
      </c>
      <c r="J130" s="164">
        <v>16878.763143221149</v>
      </c>
      <c r="K130" s="164">
        <v>107943.45</v>
      </c>
      <c r="L130" s="164">
        <v>0</v>
      </c>
      <c r="N130" s="164">
        <f t="shared" ca="1" si="12"/>
        <v>3.4924596548080444E-10</v>
      </c>
      <c r="O130" s="164">
        <f t="shared" ca="1" si="13"/>
        <v>0</v>
      </c>
      <c r="P130" s="164">
        <f t="shared" ca="1" si="14"/>
        <v>0</v>
      </c>
      <c r="Q130" s="164">
        <f t="shared" ca="1" si="15"/>
        <v>0</v>
      </c>
    </row>
    <row r="131" spans="2:17">
      <c r="B131" s="160" t="s">
        <v>117</v>
      </c>
      <c r="C131" s="161" t="s">
        <v>100</v>
      </c>
      <c r="D131" s="163">
        <f t="array" aca="1" ref="D131" ca="1">IFERROR(INDIRECT("'"&amp;"PEF_"&amp;$C131&amp;"'!D$20"),0)+IFERROR(INDIRECT("'"&amp;"PEF_"&amp;$C131&amp;"'!D$44"),0)</f>
        <v>81989.281811968074</v>
      </c>
      <c r="E131" s="163">
        <f t="array" aca="1" ref="E131" ca="1">IFERROR(INDIRECT("'"&amp;"PEF_"&amp;$C131&amp;"'!g$20"),0)+IFERROR(INDIRECT("'"&amp;"PEF_"&amp;$C131&amp;"'!g$44"),0)</f>
        <v>58568.414297294046</v>
      </c>
      <c r="F131" s="163">
        <f t="array" aca="1" ref="F131" ca="1">IFERROR(INDIRECT("'"&amp;"PEF_"&amp;$C131&amp;"'!j$20"),0)+IFERROR(INDIRECT("'"&amp;"PEF_"&amp;$C131&amp;"'!j$44"),0)</f>
        <v>55515.338250000001</v>
      </c>
      <c r="G131" s="163">
        <f t="array" aca="1" ref="G131" ca="1">IFERROR(INDIRECT("'"&amp;"PEF_"&amp;$C131&amp;"'!m$20"),0)+IFERROR(INDIRECT("'"&amp;"PEF_"&amp;$C131&amp;"'!m$44"),0)</f>
        <v>0</v>
      </c>
      <c r="I131" s="164">
        <v>81989.281811968074</v>
      </c>
      <c r="J131" s="164">
        <v>58568.414297294046</v>
      </c>
      <c r="K131" s="164">
        <v>55515.338250000001</v>
      </c>
      <c r="L131" s="164">
        <v>0</v>
      </c>
      <c r="N131" s="164">
        <f t="shared" ca="1" si="12"/>
        <v>0</v>
      </c>
      <c r="O131" s="164">
        <f t="shared" ca="1" si="13"/>
        <v>0</v>
      </c>
      <c r="P131" s="164">
        <f t="shared" ca="1" si="14"/>
        <v>0</v>
      </c>
      <c r="Q131" s="164">
        <f t="shared" ca="1" si="15"/>
        <v>0</v>
      </c>
    </row>
    <row r="132" spans="2:17">
      <c r="B132" s="160" t="s">
        <v>118</v>
      </c>
      <c r="C132" s="161" t="s">
        <v>101</v>
      </c>
      <c r="D132" s="163">
        <f t="array" aca="1" ref="D132" ca="1">IFERROR(INDIRECT("'"&amp;"PEF_"&amp;$C132&amp;"'!D$20"),0)+IFERROR(INDIRECT("'"&amp;"PEF_"&amp;$C132&amp;"'!D$44"),0)</f>
        <v>211511.938088811</v>
      </c>
      <c r="E132" s="163">
        <f t="array" aca="1" ref="E132" ca="1">IFERROR(INDIRECT("'"&amp;"PEF_"&amp;$C132&amp;"'!g$20"),0)+IFERROR(INDIRECT("'"&amp;"PEF_"&amp;$C132&amp;"'!g$44"),0)</f>
        <v>299616.77880382561</v>
      </c>
      <c r="F132" s="163">
        <f t="array" aca="1" ref="F132" ca="1">IFERROR(INDIRECT("'"&amp;"PEF_"&amp;$C132&amp;"'!j$20"),0)+IFERROR(INDIRECT("'"&amp;"PEF_"&amp;$C132&amp;"'!j$44"),0)</f>
        <v>219645.64920833334</v>
      </c>
      <c r="G132" s="163">
        <f t="array" aca="1" ref="G132" ca="1">IFERROR(INDIRECT("'"&amp;"PEF_"&amp;$C132&amp;"'!m$20"),0)+IFERROR(INDIRECT("'"&amp;"PEF_"&amp;$C132&amp;"'!m$44"),0)</f>
        <v>179176.33333333334</v>
      </c>
      <c r="I132" s="164">
        <v>211511.93808881112</v>
      </c>
      <c r="J132" s="164">
        <v>299616.77880382561</v>
      </c>
      <c r="K132" s="164">
        <v>219645.64920833334</v>
      </c>
      <c r="L132" s="164">
        <v>179176.33333333334</v>
      </c>
      <c r="N132" s="164">
        <f t="shared" ca="1" si="12"/>
        <v>0</v>
      </c>
      <c r="O132" s="164">
        <f t="shared" ca="1" si="13"/>
        <v>0</v>
      </c>
      <c r="P132" s="164">
        <f t="shared" ca="1" si="14"/>
        <v>0</v>
      </c>
      <c r="Q132" s="164">
        <f t="shared" ca="1" si="15"/>
        <v>0</v>
      </c>
    </row>
    <row r="133" spans="2:17">
      <c r="B133" s="160" t="s">
        <v>118</v>
      </c>
      <c r="C133" s="161" t="s">
        <v>102</v>
      </c>
      <c r="D133" s="163">
        <f t="array" aca="1" ref="D133" ca="1">IFERROR(INDIRECT("'"&amp;"PEF_"&amp;$C133&amp;"'!D$20"),0)+IFERROR(INDIRECT("'"&amp;"PEF_"&amp;$C133&amp;"'!D$44"),0)</f>
        <v>-2803.1675402866967</v>
      </c>
      <c r="E133" s="163">
        <f t="array" aca="1" ref="E133" ca="1">IFERROR(INDIRECT("'"&amp;"PEF_"&amp;$C133&amp;"'!g$20"),0)+IFERROR(INDIRECT("'"&amp;"PEF_"&amp;$C133&amp;"'!g$44"),0)</f>
        <v>-39895.885540443582</v>
      </c>
      <c r="F133" s="163">
        <f t="array" aca="1" ref="F133" ca="1">IFERROR(INDIRECT("'"&amp;"PEF_"&amp;$C133&amp;"'!j$20"),0)+IFERROR(INDIRECT("'"&amp;"PEF_"&amp;$C133&amp;"'!j$44"),0)</f>
        <v>-6227.871000000001</v>
      </c>
      <c r="G133" s="163">
        <f t="array" aca="1" ref="G133" ca="1">IFERROR(INDIRECT("'"&amp;"PEF_"&amp;$C133&amp;"'!m$20"),0)+IFERROR(INDIRECT("'"&amp;"PEF_"&amp;$C133&amp;"'!m$44"),0)</f>
        <v>0</v>
      </c>
      <c r="I133" s="164">
        <v>-2803.1675402866986</v>
      </c>
      <c r="J133" s="164">
        <v>-39895.885540443582</v>
      </c>
      <c r="K133" s="164">
        <v>-6227.871000000001</v>
      </c>
      <c r="L133" s="164">
        <v>0</v>
      </c>
      <c r="N133" s="164">
        <f t="shared" ca="1" si="12"/>
        <v>0</v>
      </c>
      <c r="O133" s="164">
        <f t="shared" ca="1" si="13"/>
        <v>0</v>
      </c>
      <c r="P133" s="164">
        <f t="shared" ca="1" si="14"/>
        <v>0</v>
      </c>
      <c r="Q133" s="164">
        <f t="shared" ca="1" si="15"/>
        <v>0</v>
      </c>
    </row>
    <row r="134" spans="2:17">
      <c r="B134" s="160" t="s">
        <v>118</v>
      </c>
      <c r="C134" s="161" t="s">
        <v>103</v>
      </c>
      <c r="D134" s="163">
        <f t="array" aca="1" ref="D134" ca="1">IFERROR(INDIRECT("'"&amp;"PEF_"&amp;$C134&amp;"'!D$20"),0)+IFERROR(INDIRECT("'"&amp;"PEF_"&amp;$C134&amp;"'!D$44"),0)</f>
        <v>21060.182577843912</v>
      </c>
      <c r="E134" s="163">
        <f t="array" aca="1" ref="E134" ca="1">IFERROR(INDIRECT("'"&amp;"PEF_"&amp;$C134&amp;"'!g$20"),0)+IFERROR(INDIRECT("'"&amp;"PEF_"&amp;$C134&amp;"'!g$44"),0)</f>
        <v>-1827.118306418266</v>
      </c>
      <c r="F134" s="163">
        <f t="array" aca="1" ref="F134" ca="1">IFERROR(INDIRECT("'"&amp;"PEF_"&amp;$C134&amp;"'!j$20"),0)+IFERROR(INDIRECT("'"&amp;"PEF_"&amp;$C134&amp;"'!j$44"),0)</f>
        <v>35000</v>
      </c>
      <c r="G134" s="163">
        <f t="array" aca="1" ref="G134" ca="1">IFERROR(INDIRECT("'"&amp;"PEF_"&amp;$C134&amp;"'!m$20"),0)+IFERROR(INDIRECT("'"&amp;"PEF_"&amp;$C134&amp;"'!m$44"),0)</f>
        <v>40000</v>
      </c>
      <c r="I134" s="164">
        <v>20045.182577843912</v>
      </c>
      <c r="J134" s="164">
        <v>-7842.118306418266</v>
      </c>
      <c r="K134" s="164">
        <v>35000</v>
      </c>
      <c r="L134" s="164">
        <v>25000</v>
      </c>
      <c r="N134" s="164">
        <f t="shared" ca="1" si="12"/>
        <v>1015</v>
      </c>
      <c r="O134" s="164">
        <f t="shared" ca="1" si="13"/>
        <v>6015</v>
      </c>
      <c r="P134" s="164">
        <f t="shared" ca="1" si="14"/>
        <v>0</v>
      </c>
      <c r="Q134" s="164">
        <f t="shared" ca="1" si="15"/>
        <v>15000</v>
      </c>
    </row>
    <row r="135" spans="2:17">
      <c r="B135" s="160" t="s">
        <v>118</v>
      </c>
      <c r="C135" s="161" t="s">
        <v>104</v>
      </c>
      <c r="D135" s="163">
        <f t="array" aca="1" ref="D135" ca="1">IFERROR(INDIRECT("'"&amp;"PEF_"&amp;$C135&amp;"'!D$20"),0)+IFERROR(INDIRECT("'"&amp;"PEF_"&amp;$C135&amp;"'!D$44"),0)</f>
        <v>34017.664779462735</v>
      </c>
      <c r="E135" s="163">
        <f t="array" aca="1" ref="E135" ca="1">IFERROR(INDIRECT("'"&amp;"PEF_"&amp;$C135&amp;"'!g$20"),0)+IFERROR(INDIRECT("'"&amp;"PEF_"&amp;$C135&amp;"'!g$44"),0)</f>
        <v>-18702.824993477807</v>
      </c>
      <c r="F135" s="163">
        <f t="array" aca="1" ref="F135" ca="1">IFERROR(INDIRECT("'"&amp;"PEF_"&amp;$C135&amp;"'!j$20"),0)+IFERROR(INDIRECT("'"&amp;"PEF_"&amp;$C135&amp;"'!j$44"),0)</f>
        <v>-22464.440000000002</v>
      </c>
      <c r="G135" s="163">
        <f t="array" aca="1" ref="G135" ca="1">IFERROR(INDIRECT("'"&amp;"PEF_"&amp;$C135&amp;"'!m$20"),0)+IFERROR(INDIRECT("'"&amp;"PEF_"&amp;$C135&amp;"'!m$44"),0)</f>
        <v>-10000</v>
      </c>
      <c r="I135" s="164">
        <v>34017.664779462772</v>
      </c>
      <c r="J135" s="164">
        <v>-18702.824993477803</v>
      </c>
      <c r="K135" s="164">
        <v>-22464.440000000002</v>
      </c>
      <c r="L135" s="164">
        <v>-10000</v>
      </c>
      <c r="N135" s="164">
        <f t="shared" ca="1" si="12"/>
        <v>0</v>
      </c>
      <c r="O135" s="164">
        <f t="shared" ca="1" si="13"/>
        <v>0</v>
      </c>
      <c r="P135" s="164">
        <f t="shared" ca="1" si="14"/>
        <v>0</v>
      </c>
      <c r="Q135" s="164">
        <f t="shared" ca="1" si="15"/>
        <v>0</v>
      </c>
    </row>
    <row r="136" spans="2:17">
      <c r="B136" s="160" t="s">
        <v>118</v>
      </c>
      <c r="C136" s="161" t="s">
        <v>105</v>
      </c>
      <c r="D136" s="163">
        <f t="array" aca="1" ref="D136" ca="1">IFERROR(INDIRECT("'"&amp;"PEF_"&amp;$C136&amp;"'!D$20"),0)+IFERROR(INDIRECT("'"&amp;"PEF_"&amp;$C136&amp;"'!D$44"),0)</f>
        <v>164777.04576156047</v>
      </c>
      <c r="E136" s="163">
        <f t="array" aca="1" ref="E136" ca="1">IFERROR(INDIRECT("'"&amp;"PEF_"&amp;$C136&amp;"'!g$20"),0)+IFERROR(INDIRECT("'"&amp;"PEF_"&amp;$C136&amp;"'!g$44"),0)</f>
        <v>434496.82035924675</v>
      </c>
      <c r="F136" s="163">
        <f t="array" aca="1" ref="F136" ca="1">IFERROR(INDIRECT("'"&amp;"PEF_"&amp;$C136&amp;"'!j$20"),0)+IFERROR(INDIRECT("'"&amp;"PEF_"&amp;$C136&amp;"'!j$44"),0)</f>
        <v>44373.977375000009</v>
      </c>
      <c r="G136" s="163">
        <f t="array" aca="1" ref="G136" ca="1">IFERROR(INDIRECT("'"&amp;"PEF_"&amp;$C136&amp;"'!m$20"),0)+IFERROR(INDIRECT("'"&amp;"PEF_"&amp;$C136&amp;"'!m$44"),0)</f>
        <v>0</v>
      </c>
      <c r="I136" s="164">
        <v>169762.84576156049</v>
      </c>
      <c r="J136" s="164">
        <v>439482.62035924674</v>
      </c>
      <c r="K136" s="164">
        <v>44373.977375000009</v>
      </c>
      <c r="L136" s="164">
        <v>0</v>
      </c>
      <c r="N136" s="164">
        <f t="shared" ca="1" si="12"/>
        <v>-4985.8000000000175</v>
      </c>
      <c r="O136" s="164">
        <f t="shared" ca="1" si="13"/>
        <v>-4985.7999999999884</v>
      </c>
      <c r="P136" s="164">
        <f t="shared" ca="1" si="14"/>
        <v>0</v>
      </c>
      <c r="Q136" s="164">
        <f t="shared" ca="1" si="15"/>
        <v>0</v>
      </c>
    </row>
    <row r="137" spans="2:17">
      <c r="B137" s="160" t="s">
        <v>117</v>
      </c>
      <c r="C137" s="161" t="s">
        <v>106</v>
      </c>
      <c r="D137" s="163">
        <f t="array" aca="1" ref="D137" ca="1">IFERROR(INDIRECT("'"&amp;"PEF_"&amp;$C137&amp;"'!D$20"),0)+IFERROR(INDIRECT("'"&amp;"PEF_"&amp;$C137&amp;"'!D$44"),0)</f>
        <v>-52212.389438371785</v>
      </c>
      <c r="E137" s="163">
        <f t="array" aca="1" ref="E137" ca="1">IFERROR(INDIRECT("'"&amp;"PEF_"&amp;$C137&amp;"'!g$20"),0)+IFERROR(INDIRECT("'"&amp;"PEF_"&amp;$C137&amp;"'!g$44"),0)</f>
        <v>195935.02564101078</v>
      </c>
      <c r="F137" s="163">
        <f t="array" aca="1" ref="F137" ca="1">IFERROR(INDIRECT("'"&amp;"PEF_"&amp;$C137&amp;"'!j$20"),0)+IFERROR(INDIRECT("'"&amp;"PEF_"&amp;$C137&amp;"'!j$44"),0)</f>
        <v>37182.827375000001</v>
      </c>
      <c r="G137" s="163">
        <f t="array" aca="1" ref="G137" ca="1">IFERROR(INDIRECT("'"&amp;"PEF_"&amp;$C137&amp;"'!m$20"),0)+IFERROR(INDIRECT("'"&amp;"PEF_"&amp;$C137&amp;"'!m$44"),0)</f>
        <v>0</v>
      </c>
      <c r="I137" s="164">
        <v>-52212.389438371785</v>
      </c>
      <c r="J137" s="164">
        <v>195935.02564101078</v>
      </c>
      <c r="K137" s="164">
        <v>37182.827375000001</v>
      </c>
      <c r="L137" s="164">
        <v>0</v>
      </c>
      <c r="N137" s="164">
        <f t="shared" ca="1" si="12"/>
        <v>0</v>
      </c>
      <c r="O137" s="164">
        <f t="shared" ca="1" si="13"/>
        <v>0</v>
      </c>
      <c r="P137" s="164">
        <f t="shared" ca="1" si="14"/>
        <v>0</v>
      </c>
      <c r="Q137" s="164">
        <f t="shared" ca="1" si="15"/>
        <v>0</v>
      </c>
    </row>
    <row r="138" spans="2:17">
      <c r="B138" s="160" t="s">
        <v>117</v>
      </c>
      <c r="C138" s="161" t="s">
        <v>107</v>
      </c>
      <c r="D138" s="163">
        <f t="array" aca="1" ref="D138" ca="1">IFERROR(INDIRECT("'"&amp;"PEF_"&amp;$C138&amp;"'!D$20"),0)+IFERROR(INDIRECT("'"&amp;"PEF_"&amp;$C138&amp;"'!D$44"),0)</f>
        <v>-94773.48248340319</v>
      </c>
      <c r="E138" s="163">
        <f t="array" aca="1" ref="E138" ca="1">IFERROR(INDIRECT("'"&amp;"PEF_"&amp;$C138&amp;"'!g$20"),0)+IFERROR(INDIRECT("'"&amp;"PEF_"&amp;$C138&amp;"'!g$44"),0)</f>
        <v>-70128.579478704953</v>
      </c>
      <c r="F138" s="163">
        <f t="array" aca="1" ref="F138" ca="1">IFERROR(INDIRECT("'"&amp;"PEF_"&amp;$C138&amp;"'!j$20"),0)+IFERROR(INDIRECT("'"&amp;"PEF_"&amp;$C138&amp;"'!j$44"),0)</f>
        <v>22251.886875000004</v>
      </c>
      <c r="G138" s="163">
        <f t="array" aca="1" ref="G138" ca="1">IFERROR(INDIRECT("'"&amp;"PEF_"&amp;$C138&amp;"'!m$20"),0)+IFERROR(INDIRECT("'"&amp;"PEF_"&amp;$C138&amp;"'!m$44"),0)</f>
        <v>35000</v>
      </c>
      <c r="I138" s="164">
        <v>-94773.48248340319</v>
      </c>
      <c r="J138" s="164">
        <v>-70128.579478704953</v>
      </c>
      <c r="K138" s="164">
        <v>22251.886875000004</v>
      </c>
      <c r="L138" s="164">
        <v>35000</v>
      </c>
      <c r="N138" s="164">
        <f t="shared" ca="1" si="12"/>
        <v>0</v>
      </c>
      <c r="O138" s="164">
        <f t="shared" ca="1" si="13"/>
        <v>0</v>
      </c>
      <c r="P138" s="164">
        <f t="shared" ca="1" si="14"/>
        <v>0</v>
      </c>
      <c r="Q138" s="164">
        <f t="shared" ca="1" si="15"/>
        <v>0</v>
      </c>
    </row>
    <row r="139" spans="2:17">
      <c r="B139" s="160" t="s">
        <v>117</v>
      </c>
      <c r="C139" s="161" t="s">
        <v>108</v>
      </c>
      <c r="D139" s="163">
        <f t="array" aca="1" ref="D139" ca="1">IFERROR(INDIRECT("'"&amp;"PEF_"&amp;$C139&amp;"'!D$20"),0)+IFERROR(INDIRECT("'"&amp;"PEF_"&amp;$C139&amp;"'!D$44"),0)</f>
        <v>464731.15628051874</v>
      </c>
      <c r="E139" s="163">
        <f t="array" aca="1" ref="E139" ca="1">IFERROR(INDIRECT("'"&amp;"PEF_"&amp;$C139&amp;"'!g$20"),0)+IFERROR(INDIRECT("'"&amp;"PEF_"&amp;$C139&amp;"'!g$44"),0)</f>
        <v>640997.49366484128</v>
      </c>
      <c r="F139" s="163">
        <f t="array" aca="1" ref="F139" ca="1">IFERROR(INDIRECT("'"&amp;"PEF_"&amp;$C139&amp;"'!j$20"),0)+IFERROR(INDIRECT("'"&amp;"PEF_"&amp;$C139&amp;"'!j$44"),0)</f>
        <v>156437.76112500002</v>
      </c>
      <c r="G139" s="163">
        <f t="array" aca="1" ref="G139" ca="1">IFERROR(INDIRECT("'"&amp;"PEF_"&amp;$C139&amp;"'!m$20"),0)+IFERROR(INDIRECT("'"&amp;"PEF_"&amp;$C139&amp;"'!m$44"),0)</f>
        <v>0</v>
      </c>
      <c r="I139" s="164">
        <v>464731.1562805188</v>
      </c>
      <c r="J139" s="164">
        <v>640997.4936648414</v>
      </c>
      <c r="K139" s="164">
        <v>156437.76112500002</v>
      </c>
      <c r="L139" s="164">
        <v>0</v>
      </c>
      <c r="N139" s="164">
        <f t="shared" ca="1" si="12"/>
        <v>0</v>
      </c>
      <c r="O139" s="164">
        <f t="shared" ca="1" si="13"/>
        <v>0</v>
      </c>
      <c r="P139" s="164">
        <f t="shared" ca="1" si="14"/>
        <v>0</v>
      </c>
      <c r="Q139" s="164">
        <f t="shared" ca="1" si="15"/>
        <v>0</v>
      </c>
    </row>
    <row r="140" spans="2:17">
      <c r="B140" s="160" t="s">
        <v>117</v>
      </c>
      <c r="C140" s="161" t="s">
        <v>109</v>
      </c>
      <c r="D140" s="163">
        <f t="array" aca="1" ref="D140" ca="1">IFERROR(INDIRECT("'"&amp;"PEF_"&amp;$C140&amp;"'!D$20"),0)+IFERROR(INDIRECT("'"&amp;"PEF_"&amp;$C140&amp;"'!D$44"),0)</f>
        <v>-177633.36870385008</v>
      </c>
      <c r="E140" s="163">
        <f t="array" aca="1" ref="E140" ca="1">IFERROR(INDIRECT("'"&amp;"PEF_"&amp;$C140&amp;"'!g$20"),0)+IFERROR(INDIRECT("'"&amp;"PEF_"&amp;$C140&amp;"'!g$44"),0)</f>
        <v>-217630.03548667621</v>
      </c>
      <c r="F140" s="163">
        <f t="array" aca="1" ref="F140" ca="1">IFERROR(INDIRECT("'"&amp;"PEF_"&amp;$C140&amp;"'!j$20"),0)+IFERROR(INDIRECT("'"&amp;"PEF_"&amp;$C140&amp;"'!j$44"),0)</f>
        <v>2009.9493749999965</v>
      </c>
      <c r="G140" s="163">
        <f t="array" aca="1" ref="G140" ca="1">IFERROR(INDIRECT("'"&amp;"PEF_"&amp;$C140&amp;"'!m$20"),0)+IFERROR(INDIRECT("'"&amp;"PEF_"&amp;$C140&amp;"'!m$44"),0)</f>
        <v>0</v>
      </c>
      <c r="I140" s="164">
        <v>-177633.36870385014</v>
      </c>
      <c r="J140" s="164">
        <v>-217630.03548667621</v>
      </c>
      <c r="K140" s="164">
        <v>2009.9493749999965</v>
      </c>
      <c r="L140" s="164">
        <v>0</v>
      </c>
      <c r="N140" s="164">
        <f t="shared" ca="1" si="12"/>
        <v>0</v>
      </c>
      <c r="O140" s="164">
        <f t="shared" ca="1" si="13"/>
        <v>0</v>
      </c>
      <c r="P140" s="164">
        <f t="shared" ca="1" si="14"/>
        <v>0</v>
      </c>
      <c r="Q140" s="164">
        <f t="shared" ca="1" si="15"/>
        <v>0</v>
      </c>
    </row>
    <row r="141" spans="2:17">
      <c r="B141" s="160" t="s">
        <v>118</v>
      </c>
      <c r="C141" s="161" t="s">
        <v>110</v>
      </c>
      <c r="D141" s="163">
        <f t="array" aca="1" ref="D141" ca="1">IFERROR(INDIRECT("'"&amp;"PEF_"&amp;$C141&amp;"'!D$20"),0)+IFERROR(INDIRECT("'"&amp;"PEF_"&amp;$C141&amp;"'!D$44"),0)</f>
        <v>51578.516537474236</v>
      </c>
      <c r="E141" s="163">
        <f t="array" aca="1" ref="E141" ca="1">IFERROR(INDIRECT("'"&amp;"PEF_"&amp;$C141&amp;"'!g$20"),0)+IFERROR(INDIRECT("'"&amp;"PEF_"&amp;$C141&amp;"'!g$44"),0)</f>
        <v>63983.165892486897</v>
      </c>
      <c r="F141" s="163">
        <f t="array" aca="1" ref="F141" ca="1">IFERROR(INDIRECT("'"&amp;"PEF_"&amp;$C141&amp;"'!j$20"),0)+IFERROR(INDIRECT("'"&amp;"PEF_"&amp;$C141&amp;"'!j$44"),0)</f>
        <v>41415.964250000019</v>
      </c>
      <c r="G141" s="163">
        <f t="array" aca="1" ref="G141" ca="1">IFERROR(INDIRECT("'"&amp;"PEF_"&amp;$C141&amp;"'!m$20"),0)+IFERROR(INDIRECT("'"&amp;"PEF_"&amp;$C141&amp;"'!m$44"),0)</f>
        <v>0</v>
      </c>
      <c r="I141" s="164">
        <v>51578.516537474214</v>
      </c>
      <c r="J141" s="164">
        <v>63983.16589248689</v>
      </c>
      <c r="K141" s="164">
        <v>41415.964249999997</v>
      </c>
      <c r="L141" s="164">
        <v>0</v>
      </c>
      <c r="N141" s="164">
        <f t="shared" ca="1" si="12"/>
        <v>0</v>
      </c>
      <c r="O141" s="164">
        <f t="shared" ca="1" si="13"/>
        <v>0</v>
      </c>
      <c r="P141" s="164">
        <f t="shared" ca="1" si="14"/>
        <v>0</v>
      </c>
      <c r="Q141" s="164">
        <f t="shared" ca="1" si="15"/>
        <v>0</v>
      </c>
    </row>
    <row r="142" spans="2:17">
      <c r="B142" s="160" t="s">
        <v>118</v>
      </c>
      <c r="C142" s="161" t="s">
        <v>111</v>
      </c>
      <c r="D142" s="163">
        <f t="array" aca="1" ref="D142" ca="1">IFERROR(INDIRECT("'"&amp;"PEF_"&amp;$C142&amp;"'!D$20"),0)+IFERROR(INDIRECT("'"&amp;"PEF_"&amp;$C142&amp;"'!D$44"),0)</f>
        <v>41240.631052085897</v>
      </c>
      <c r="E142" s="163">
        <f t="array" aca="1" ref="E142" ca="1">IFERROR(INDIRECT("'"&amp;"PEF_"&amp;$C142&amp;"'!g$20"),0)+IFERROR(INDIRECT("'"&amp;"PEF_"&amp;$C142&amp;"'!g$44"),0)</f>
        <v>30282.20075110445</v>
      </c>
      <c r="F142" s="163">
        <f t="array" aca="1" ref="F142" ca="1">IFERROR(INDIRECT("'"&amp;"PEF_"&amp;$C142&amp;"'!j$20"),0)+IFERROR(INDIRECT("'"&amp;"PEF_"&amp;$C142&amp;"'!j$44"),0)</f>
        <v>2030.3208749999903</v>
      </c>
      <c r="G142" s="163">
        <f t="array" aca="1" ref="G142" ca="1">IFERROR(INDIRECT("'"&amp;"PEF_"&amp;$C142&amp;"'!m$20"),0)+IFERROR(INDIRECT("'"&amp;"PEF_"&amp;$C142&amp;"'!m$44"),0)</f>
        <v>0</v>
      </c>
      <c r="I142" s="164">
        <v>41240.631052085955</v>
      </c>
      <c r="J142" s="164">
        <v>30282.200751104465</v>
      </c>
      <c r="K142" s="164">
        <v>2030.3208749999903</v>
      </c>
      <c r="L142" s="164">
        <v>0</v>
      </c>
      <c r="N142" s="164">
        <f t="shared" ca="1" si="12"/>
        <v>-5.8207660913467407E-11</v>
      </c>
      <c r="O142" s="164">
        <f t="shared" ca="1" si="13"/>
        <v>0</v>
      </c>
      <c r="P142" s="164">
        <f t="shared" ca="1" si="14"/>
        <v>0</v>
      </c>
      <c r="Q142" s="164">
        <f t="shared" ca="1" si="15"/>
        <v>0</v>
      </c>
    </row>
    <row r="143" spans="2:17">
      <c r="B143" s="160" t="s">
        <v>117</v>
      </c>
      <c r="C143" s="161" t="s">
        <v>112</v>
      </c>
      <c r="D143" s="163">
        <f t="array" aca="1" ref="D143" ca="1">IFERROR(INDIRECT("'"&amp;"PEF_"&amp;$C143&amp;"'!D$20"),0)+IFERROR(INDIRECT("'"&amp;"PEF_"&amp;$C143&amp;"'!D$44"),0)</f>
        <v>-11667.96923315934</v>
      </c>
      <c r="E143" s="163">
        <f t="array" aca="1" ref="E143" ca="1">IFERROR(INDIRECT("'"&amp;"PEF_"&amp;$C143&amp;"'!g$20"),0)+IFERROR(INDIRECT("'"&amp;"PEF_"&amp;$C143&amp;"'!g$44"),0)</f>
        <v>17269.680858183492</v>
      </c>
      <c r="F143" s="163">
        <f t="array" aca="1" ref="F143" ca="1">IFERROR(INDIRECT("'"&amp;"PEF_"&amp;$C143&amp;"'!j$20"),0)+IFERROR(INDIRECT("'"&amp;"PEF_"&amp;$C143&amp;"'!j$44"),0)</f>
        <v>67647.976250000007</v>
      </c>
      <c r="G143" s="163">
        <f t="array" aca="1" ref="G143" ca="1">IFERROR(INDIRECT("'"&amp;"PEF_"&amp;$C143&amp;"'!m$20"),0)+IFERROR(INDIRECT("'"&amp;"PEF_"&amp;$C143&amp;"'!m$44"),0)</f>
        <v>127083</v>
      </c>
      <c r="I143" s="164">
        <v>-11667.96923315934</v>
      </c>
      <c r="J143" s="164">
        <v>15927.680858183492</v>
      </c>
      <c r="K143" s="164">
        <v>67647.976250000007</v>
      </c>
      <c r="L143" s="164">
        <v>120000</v>
      </c>
      <c r="N143" s="164">
        <f t="shared" ca="1" si="12"/>
        <v>0</v>
      </c>
      <c r="O143" s="164">
        <f t="shared" ca="1" si="13"/>
        <v>1342</v>
      </c>
      <c r="P143" s="164">
        <f t="shared" ca="1" si="14"/>
        <v>0</v>
      </c>
      <c r="Q143" s="164">
        <f t="shared" ca="1" si="15"/>
        <v>7083</v>
      </c>
    </row>
    <row r="144" spans="2:17">
      <c r="B144" s="160" t="s">
        <v>118</v>
      </c>
      <c r="C144" s="161" t="s">
        <v>113</v>
      </c>
      <c r="D144" s="163">
        <f t="array" aca="1" ref="D144" ca="1">IFERROR(INDIRECT("'"&amp;"PEF_"&amp;$C144&amp;"'!D$20"),0)+IFERROR(INDIRECT("'"&amp;"PEF_"&amp;$C144&amp;"'!D$44"),0)</f>
        <v>5042.5692805311764</v>
      </c>
      <c r="E144" s="163">
        <f t="array" aca="1" ref="E144" ca="1">IFERROR(INDIRECT("'"&amp;"PEF_"&amp;$C144&amp;"'!g$20"),0)+IFERROR(INDIRECT("'"&amp;"PEF_"&amp;$C144&amp;"'!g$44"),0)</f>
        <v>2803.9493095531125</v>
      </c>
      <c r="F144" s="163">
        <f t="array" aca="1" ref="F144" ca="1">IFERROR(INDIRECT("'"&amp;"PEF_"&amp;$C144&amp;"'!j$20"),0)+IFERROR(INDIRECT("'"&amp;"PEF_"&amp;$C144&amp;"'!j$44"),0)</f>
        <v>6085.1750000000002</v>
      </c>
      <c r="G144" s="163">
        <f t="array" aca="1" ref="G144" ca="1">IFERROR(INDIRECT("'"&amp;"PEF_"&amp;$C144&amp;"'!m$20"),0)+IFERROR(INDIRECT("'"&amp;"PEF_"&amp;$C144&amp;"'!m$44"),0)</f>
        <v>0</v>
      </c>
      <c r="I144" s="164">
        <v>7465.5692805311764</v>
      </c>
      <c r="J144" s="164">
        <v>2803.9493095531107</v>
      </c>
      <c r="K144" s="164">
        <v>6085.1750000000002</v>
      </c>
      <c r="L144" s="164">
        <v>0</v>
      </c>
      <c r="N144" s="164">
        <f t="shared" ca="1" si="12"/>
        <v>-2423</v>
      </c>
      <c r="O144" s="164">
        <f t="shared" ca="1" si="13"/>
        <v>0</v>
      </c>
      <c r="P144" s="164">
        <f t="shared" ca="1" si="14"/>
        <v>0</v>
      </c>
      <c r="Q144" s="164">
        <f t="shared" ca="1" si="15"/>
        <v>0</v>
      </c>
    </row>
    <row r="145" spans="2:17">
      <c r="B145" s="160" t="s">
        <v>118</v>
      </c>
      <c r="C145" s="161" t="s">
        <v>114</v>
      </c>
      <c r="D145" s="163">
        <f t="array" aca="1" ref="D145" ca="1">IFERROR(INDIRECT("'"&amp;"PEF_"&amp;$C145&amp;"'!D$20"),0)+IFERROR(INDIRECT("'"&amp;"PEF_"&amp;$C145&amp;"'!D$44"),0)</f>
        <v>-736186</v>
      </c>
      <c r="E145" s="163">
        <f t="array" aca="1" ref="E145" ca="1">IFERROR(INDIRECT("'"&amp;"PEF_"&amp;$C145&amp;"'!g$20"),0)+IFERROR(INDIRECT("'"&amp;"PEF_"&amp;$C145&amp;"'!g$44"),0)</f>
        <v>-437651</v>
      </c>
      <c r="F145" s="163">
        <f t="array" aca="1" ref="F145" ca="1">IFERROR(INDIRECT("'"&amp;"PEF_"&amp;$C145&amp;"'!j$20"),0)+IFERROR(INDIRECT("'"&amp;"PEF_"&amp;$C145&amp;"'!j$44"),0)</f>
        <v>-381790</v>
      </c>
      <c r="G145" s="163">
        <f t="array" aca="1" ref="G145" ca="1">IFERROR(INDIRECT("'"&amp;"PEF_"&amp;$C145&amp;"'!m$20"),0)+IFERROR(INDIRECT("'"&amp;"PEF_"&amp;$C145&amp;"'!m$44"),0)</f>
        <v>0</v>
      </c>
      <c r="I145" s="164">
        <v>-736185.85869499086</v>
      </c>
      <c r="J145" s="164">
        <v>-437651.25361892395</v>
      </c>
      <c r="K145" s="164">
        <v>-381790.37741975021</v>
      </c>
      <c r="L145" s="164">
        <v>0</v>
      </c>
      <c r="N145" s="164">
        <f t="shared" ca="1" si="12"/>
        <v>-0.14130500913597643</v>
      </c>
      <c r="O145" s="164">
        <f t="shared" ca="1" si="13"/>
        <v>0.25361892394721508</v>
      </c>
      <c r="P145" s="164">
        <f t="shared" ca="1" si="14"/>
        <v>0.37741975020617247</v>
      </c>
      <c r="Q145" s="164">
        <f t="shared" ca="1" si="15"/>
        <v>0</v>
      </c>
    </row>
    <row r="146" spans="2:17">
      <c r="B146" s="160" t="s">
        <v>117</v>
      </c>
      <c r="C146" s="161" t="s">
        <v>115</v>
      </c>
      <c r="D146" s="163">
        <f t="array" aca="1" ref="D146" ca="1">IFERROR(INDIRECT("'"&amp;"PEF_"&amp;$C146&amp;"'!D$20"),0)+IFERROR(INDIRECT("'"&amp;"PEF_"&amp;$C146&amp;"'!D$44"),0)</f>
        <v>189185</v>
      </c>
      <c r="E146" s="163">
        <f t="array" aca="1" ref="E146" ca="1">IFERROR(INDIRECT("'"&amp;"PEF_"&amp;$C146&amp;"'!g$20"),0)+IFERROR(INDIRECT("'"&amp;"PEF_"&amp;$C146&amp;"'!g$44"),0)</f>
        <v>57625.985794109583</v>
      </c>
      <c r="F146" s="163">
        <f t="array" aca="1" ref="F146" ca="1">IFERROR(INDIRECT("'"&amp;"PEF_"&amp;$C146&amp;"'!j$20"),0)+IFERROR(INDIRECT("'"&amp;"PEF_"&amp;$C146&amp;"'!j$44"),0)</f>
        <v>23120.514375000002</v>
      </c>
      <c r="G146" s="163">
        <f t="array" aca="1" ref="G146" ca="1">IFERROR(INDIRECT("'"&amp;"PEF_"&amp;$C146&amp;"'!m$20"),0)+IFERROR(INDIRECT("'"&amp;"PEF_"&amp;$C146&amp;"'!m$44"),0)</f>
        <v>0</v>
      </c>
      <c r="I146" s="164">
        <v>187603.3689858845</v>
      </c>
      <c r="J146" s="164">
        <v>56044.235794109583</v>
      </c>
      <c r="K146" s="164">
        <v>23120.514375000002</v>
      </c>
      <c r="L146" s="164">
        <v>0</v>
      </c>
      <c r="N146" s="164">
        <f t="shared" ca="1" si="12"/>
        <v>1581.6310141154972</v>
      </c>
      <c r="O146" s="164">
        <f t="shared" ca="1" si="13"/>
        <v>1581.75</v>
      </c>
      <c r="P146" s="164">
        <f t="shared" ca="1" si="14"/>
        <v>0</v>
      </c>
      <c r="Q146" s="164">
        <f t="shared" ca="1" si="15"/>
        <v>0</v>
      </c>
    </row>
    <row r="148" spans="2:17">
      <c r="C148" s="162" t="s">
        <v>123</v>
      </c>
      <c r="D148" s="162">
        <v>2022</v>
      </c>
      <c r="E148" s="162">
        <v>2023</v>
      </c>
      <c r="F148" s="162">
        <v>2024</v>
      </c>
      <c r="G148" s="162">
        <v>2025</v>
      </c>
      <c r="I148" s="162">
        <v>2022</v>
      </c>
      <c r="J148" s="162">
        <v>2023</v>
      </c>
      <c r="K148" s="162">
        <v>2024</v>
      </c>
      <c r="L148" s="162">
        <v>2025</v>
      </c>
      <c r="N148" s="162">
        <v>2022</v>
      </c>
      <c r="O148" s="162">
        <v>2023</v>
      </c>
      <c r="P148" s="162">
        <v>2024</v>
      </c>
      <c r="Q148" s="162">
        <v>2025</v>
      </c>
    </row>
    <row r="149" spans="2:17">
      <c r="B149" s="160" t="s">
        <v>117</v>
      </c>
      <c r="C149" s="161" t="s">
        <v>82</v>
      </c>
      <c r="D149" s="163">
        <f t="array" aca="1" ref="D149" ca="1">IFERROR(INDIRECT("'"&amp;"PEF_"&amp;$C149&amp;"'!e$20"),0)+IFERROR(INDIRECT("'"&amp;"PEF_"&amp;$C149&amp;"'!e$44"),0)</f>
        <v>0</v>
      </c>
      <c r="E149" s="163">
        <f t="array" aca="1" ref="E149" ca="1">IFERROR(INDIRECT("'"&amp;"PEF_"&amp;$C149&amp;"'!h$20"),0)+IFERROR(INDIRECT("'"&amp;"PEF_"&amp;$C149&amp;"'!h$44"),0)</f>
        <v>0</v>
      </c>
      <c r="F149" s="163">
        <f t="array" aca="1" ref="F149" ca="1">IFERROR(INDIRECT("'"&amp;"PEF_"&amp;$C149&amp;"'!k$20"),0)+IFERROR(INDIRECT("'"&amp;"PEF_"&amp;$C149&amp;"'!k$44"),0)</f>
        <v>0</v>
      </c>
      <c r="G149" s="163">
        <f t="array" aca="1" ref="G149" ca="1">IFERROR(INDIRECT("'"&amp;"PEF_"&amp;$C149&amp;"'!m$20"),0)+IFERROR(INDIRECT("'"&amp;"PEF_"&amp;$C149&amp;"'!m$44"),0)</f>
        <v>0</v>
      </c>
      <c r="I149" s="164">
        <v>0</v>
      </c>
      <c r="J149" s="164">
        <v>0</v>
      </c>
      <c r="K149" s="164">
        <v>0</v>
      </c>
      <c r="L149" s="164">
        <v>0</v>
      </c>
      <c r="N149" s="164">
        <f t="shared" ref="N149:N182" ca="1" si="16">D149-I149</f>
        <v>0</v>
      </c>
      <c r="O149" s="164">
        <f t="shared" ref="O149:O182" ca="1" si="17">E149-J149</f>
        <v>0</v>
      </c>
      <c r="P149" s="164">
        <f t="shared" ref="P149:P182" ca="1" si="18">F149-K149</f>
        <v>0</v>
      </c>
      <c r="Q149" s="164">
        <f t="shared" ref="Q149:Q182" ca="1" si="19">G149-L149</f>
        <v>0</v>
      </c>
    </row>
    <row r="150" spans="2:17">
      <c r="B150" s="160" t="s">
        <v>117</v>
      </c>
      <c r="C150" s="161" t="s">
        <v>83</v>
      </c>
      <c r="D150" s="163">
        <f t="array" aca="1" ref="D150" ca="1">IFERROR(INDIRECT("'"&amp;"PEF_"&amp;$C150&amp;"'!e$20"),0)+IFERROR(INDIRECT("'"&amp;"PEF_"&amp;$C150&amp;"'!e$44"),0)</f>
        <v>0</v>
      </c>
      <c r="E150" s="163">
        <f t="array" aca="1" ref="E150" ca="1">IFERROR(INDIRECT("'"&amp;"PEF_"&amp;$C150&amp;"'!h$20"),0)+IFERROR(INDIRECT("'"&amp;"PEF_"&amp;$C150&amp;"'!h$44"),0)</f>
        <v>0</v>
      </c>
      <c r="F150" s="163">
        <f t="array" aca="1" ref="F150" ca="1">IFERROR(INDIRECT("'"&amp;"PEF_"&amp;$C150&amp;"'!k$20"),0)+IFERROR(INDIRECT("'"&amp;"PEF_"&amp;$C150&amp;"'!k$44"),0)</f>
        <v>0</v>
      </c>
      <c r="G150" s="163">
        <f t="array" aca="1" ref="G150" ca="1">IFERROR(INDIRECT("'"&amp;"PEF_"&amp;$C150&amp;"'!m$20"),0)+IFERROR(INDIRECT("'"&amp;"PEF_"&amp;$C150&amp;"'!m$44"),0)</f>
        <v>0</v>
      </c>
      <c r="I150" s="164">
        <v>0</v>
      </c>
      <c r="J150" s="164">
        <v>0</v>
      </c>
      <c r="K150" s="164">
        <v>0</v>
      </c>
      <c r="L150" s="164">
        <v>0</v>
      </c>
      <c r="N150" s="164">
        <f t="shared" ca="1" si="16"/>
        <v>0</v>
      </c>
      <c r="O150" s="164">
        <f t="shared" ca="1" si="17"/>
        <v>0</v>
      </c>
      <c r="P150" s="164">
        <f t="shared" ca="1" si="18"/>
        <v>0</v>
      </c>
      <c r="Q150" s="164">
        <f t="shared" ca="1" si="19"/>
        <v>0</v>
      </c>
    </row>
    <row r="151" spans="2:17">
      <c r="B151" s="160" t="s">
        <v>117</v>
      </c>
      <c r="C151" s="161" t="s">
        <v>84</v>
      </c>
      <c r="D151" s="163">
        <f t="array" aca="1" ref="D151" ca="1">IFERROR(INDIRECT("'"&amp;"PEF_"&amp;$C151&amp;"'!e$20"),0)+IFERROR(INDIRECT("'"&amp;"PEF_"&amp;$C151&amp;"'!e$44"),0)</f>
        <v>0</v>
      </c>
      <c r="E151" s="163">
        <f t="array" aca="1" ref="E151" ca="1">IFERROR(INDIRECT("'"&amp;"PEF_"&amp;$C151&amp;"'!h$20"),0)+IFERROR(INDIRECT("'"&amp;"PEF_"&amp;$C151&amp;"'!h$44"),0)</f>
        <v>0</v>
      </c>
      <c r="F151" s="163">
        <f t="array" aca="1" ref="F151" ca="1">IFERROR(INDIRECT("'"&amp;"PEF_"&amp;$C151&amp;"'!k$20"),0)+IFERROR(INDIRECT("'"&amp;"PEF_"&amp;$C151&amp;"'!k$44"),0)</f>
        <v>0</v>
      </c>
      <c r="G151" s="163">
        <f t="array" aca="1" ref="G151" ca="1">IFERROR(INDIRECT("'"&amp;"PEF_"&amp;$C151&amp;"'!m$20"),0)+IFERROR(INDIRECT("'"&amp;"PEF_"&amp;$C151&amp;"'!m$44"),0)</f>
        <v>0</v>
      </c>
      <c r="I151" s="164">
        <v>0</v>
      </c>
      <c r="J151" s="164">
        <v>0</v>
      </c>
      <c r="K151" s="164">
        <v>0</v>
      </c>
      <c r="L151" s="164">
        <v>0</v>
      </c>
      <c r="N151" s="164">
        <f t="shared" ca="1" si="16"/>
        <v>0</v>
      </c>
      <c r="O151" s="164">
        <f t="shared" ca="1" si="17"/>
        <v>0</v>
      </c>
      <c r="P151" s="164">
        <f t="shared" ca="1" si="18"/>
        <v>0</v>
      </c>
      <c r="Q151" s="164">
        <f t="shared" ca="1" si="19"/>
        <v>0</v>
      </c>
    </row>
    <row r="152" spans="2:17">
      <c r="B152" s="160" t="s">
        <v>118</v>
      </c>
      <c r="C152" s="161" t="s">
        <v>85</v>
      </c>
      <c r="D152" s="163">
        <f t="array" aca="1" ref="D152" ca="1">IFERROR(INDIRECT("'"&amp;"PEF_"&amp;$C152&amp;"'!e$20"),0)+IFERROR(INDIRECT("'"&amp;"PEF_"&amp;$C152&amp;"'!e$44"),0)</f>
        <v>0</v>
      </c>
      <c r="E152" s="163">
        <f t="array" aca="1" ref="E152" ca="1">IFERROR(INDIRECT("'"&amp;"PEF_"&amp;$C152&amp;"'!h$20"),0)+IFERROR(INDIRECT("'"&amp;"PEF_"&amp;$C152&amp;"'!h$44"),0)</f>
        <v>0</v>
      </c>
      <c r="F152" s="163">
        <f t="array" aca="1" ref="F152" ca="1">IFERROR(INDIRECT("'"&amp;"PEF_"&amp;$C152&amp;"'!k$20"),0)+IFERROR(INDIRECT("'"&amp;"PEF_"&amp;$C152&amp;"'!k$44"),0)</f>
        <v>0</v>
      </c>
      <c r="G152" s="163">
        <f t="array" aca="1" ref="G152" ca="1">IFERROR(INDIRECT("'"&amp;"PEF_"&amp;$C152&amp;"'!m$20"),0)+IFERROR(INDIRECT("'"&amp;"PEF_"&amp;$C152&amp;"'!m$44"),0)</f>
        <v>500000</v>
      </c>
      <c r="I152" s="164">
        <v>0</v>
      </c>
      <c r="J152" s="164">
        <v>0</v>
      </c>
      <c r="K152" s="164">
        <v>0</v>
      </c>
      <c r="L152" s="164">
        <v>0</v>
      </c>
      <c r="N152" s="164">
        <f t="shared" ca="1" si="16"/>
        <v>0</v>
      </c>
      <c r="O152" s="164">
        <f t="shared" ca="1" si="17"/>
        <v>0</v>
      </c>
      <c r="P152" s="164">
        <f t="shared" ca="1" si="18"/>
        <v>0</v>
      </c>
      <c r="Q152" s="164">
        <f t="shared" ca="1" si="19"/>
        <v>500000</v>
      </c>
    </row>
    <row r="153" spans="2:17">
      <c r="B153" s="160" t="s">
        <v>118</v>
      </c>
      <c r="C153" s="161" t="s">
        <v>86</v>
      </c>
      <c r="D153" s="163">
        <f t="array" aca="1" ref="D153" ca="1">IFERROR(INDIRECT("'"&amp;"PEF_"&amp;$C153&amp;"'!e$20"),0)+IFERROR(INDIRECT("'"&amp;"PEF_"&amp;$C153&amp;"'!e$44"),0)</f>
        <v>-13395.03485</v>
      </c>
      <c r="E153" s="163">
        <f t="array" aca="1" ref="E153" ca="1">IFERROR(INDIRECT("'"&amp;"PEF_"&amp;$C153&amp;"'!h$20"),0)+IFERROR(INDIRECT("'"&amp;"PEF_"&amp;$C153&amp;"'!h$44"),0)</f>
        <v>-13395.03485</v>
      </c>
      <c r="F153" s="163">
        <f t="array" aca="1" ref="F153" ca="1">IFERROR(INDIRECT("'"&amp;"PEF_"&amp;$C153&amp;"'!k$20"),0)+IFERROR(INDIRECT("'"&amp;"PEF_"&amp;$C153&amp;"'!k$44"),0)</f>
        <v>-8553.0779999999995</v>
      </c>
      <c r="G153" s="163">
        <f t="array" aca="1" ref="G153" ca="1">IFERROR(INDIRECT("'"&amp;"PEF_"&amp;$C153&amp;"'!m$20"),0)+IFERROR(INDIRECT("'"&amp;"PEF_"&amp;$C153&amp;"'!m$44"),0)</f>
        <v>0</v>
      </c>
      <c r="I153" s="164">
        <v>-13395.03485</v>
      </c>
      <c r="J153" s="164">
        <v>-13395.03485</v>
      </c>
      <c r="K153" s="164">
        <v>-8553.0779999999995</v>
      </c>
      <c r="L153" s="164">
        <v>0</v>
      </c>
      <c r="N153" s="164">
        <f t="shared" ca="1" si="16"/>
        <v>0</v>
      </c>
      <c r="O153" s="164">
        <f t="shared" ca="1" si="17"/>
        <v>0</v>
      </c>
      <c r="P153" s="164">
        <f t="shared" ca="1" si="18"/>
        <v>0</v>
      </c>
      <c r="Q153" s="164">
        <f t="shared" ca="1" si="19"/>
        <v>0</v>
      </c>
    </row>
    <row r="154" spans="2:17">
      <c r="B154" s="160" t="s">
        <v>118</v>
      </c>
      <c r="C154" s="161" t="s">
        <v>87</v>
      </c>
      <c r="D154" s="163">
        <f t="array" aca="1" ref="D154" ca="1">IFERROR(INDIRECT("'"&amp;"PEF_"&amp;$C154&amp;"'!e$20"),0)+IFERROR(INDIRECT("'"&amp;"PEF_"&amp;$C154&amp;"'!e$44"),0)</f>
        <v>-35880.284971577254</v>
      </c>
      <c r="E154" s="163">
        <f t="array" aca="1" ref="E154" ca="1">IFERROR(INDIRECT("'"&amp;"PEF_"&amp;$C154&amp;"'!h$20"),0)+IFERROR(INDIRECT("'"&amp;"PEF_"&amp;$C154&amp;"'!h$44"),0)</f>
        <v>-35880.284971577254</v>
      </c>
      <c r="F154" s="163">
        <f t="array" aca="1" ref="F154" ca="1">IFERROR(INDIRECT("'"&amp;"PEF_"&amp;$C154&amp;"'!k$20"),0)+IFERROR(INDIRECT("'"&amp;"PEF_"&amp;$C154&amp;"'!k$44"),0)</f>
        <v>-35880</v>
      </c>
      <c r="G154" s="163">
        <f t="array" aca="1" ref="G154" ca="1">IFERROR(INDIRECT("'"&amp;"PEF_"&amp;$C154&amp;"'!m$20"),0)+IFERROR(INDIRECT("'"&amp;"PEF_"&amp;$C154&amp;"'!m$44"),0)</f>
        <v>0</v>
      </c>
      <c r="I154" s="164">
        <v>-35880.044971577248</v>
      </c>
      <c r="J154" s="164">
        <v>-35880.044971577248</v>
      </c>
      <c r="K154" s="164">
        <v>-35880</v>
      </c>
      <c r="L154" s="164">
        <v>-35880</v>
      </c>
      <c r="N154" s="164">
        <f t="shared" ca="1" si="16"/>
        <v>-0.24000000000523869</v>
      </c>
      <c r="O154" s="164">
        <f t="shared" ca="1" si="17"/>
        <v>-0.24000000000523869</v>
      </c>
      <c r="P154" s="164">
        <f t="shared" ca="1" si="18"/>
        <v>0</v>
      </c>
      <c r="Q154" s="164">
        <f t="shared" ca="1" si="19"/>
        <v>35880</v>
      </c>
    </row>
    <row r="155" spans="2:17">
      <c r="B155" s="160" t="s">
        <v>118</v>
      </c>
      <c r="C155" s="161" t="s">
        <v>88</v>
      </c>
      <c r="D155" s="163">
        <f t="array" aca="1" ref="D155" ca="1">IFERROR(INDIRECT("'"&amp;"PEF_"&amp;$C155&amp;"'!e$20"),0)+IFERROR(INDIRECT("'"&amp;"PEF_"&amp;$C155&amp;"'!e$44"),0)</f>
        <v>-72548.418250000002</v>
      </c>
      <c r="E155" s="163">
        <f t="array" aca="1" ref="E155" ca="1">IFERROR(INDIRECT("'"&amp;"PEF_"&amp;$C155&amp;"'!h$20"),0)+IFERROR(INDIRECT("'"&amp;"PEF_"&amp;$C155&amp;"'!h$44"),0)</f>
        <v>-292548.41824999999</v>
      </c>
      <c r="F155" s="163">
        <f t="array" aca="1" ref="F155" ca="1">IFERROR(INDIRECT("'"&amp;"PEF_"&amp;$C155&amp;"'!k$20"),0)+IFERROR(INDIRECT("'"&amp;"PEF_"&amp;$C155&amp;"'!k$44"),0)</f>
        <v>-176657.83124999999</v>
      </c>
      <c r="G155" s="163">
        <f t="array" aca="1" ref="G155" ca="1">IFERROR(INDIRECT("'"&amp;"PEF_"&amp;$C155&amp;"'!m$20"),0)+IFERROR(INDIRECT("'"&amp;"PEF_"&amp;$C155&amp;"'!m$44"),0)</f>
        <v>0</v>
      </c>
      <c r="I155" s="164">
        <v>-72548.418250000002</v>
      </c>
      <c r="J155" s="164">
        <v>-292548.41824999999</v>
      </c>
      <c r="K155" s="164">
        <v>-176657.83124999999</v>
      </c>
      <c r="L155" s="164">
        <v>0</v>
      </c>
      <c r="N155" s="164">
        <f t="shared" ca="1" si="16"/>
        <v>0</v>
      </c>
      <c r="O155" s="164">
        <f t="shared" ca="1" si="17"/>
        <v>0</v>
      </c>
      <c r="P155" s="164">
        <f t="shared" ca="1" si="18"/>
        <v>0</v>
      </c>
      <c r="Q155" s="164">
        <f t="shared" ca="1" si="19"/>
        <v>0</v>
      </c>
    </row>
    <row r="156" spans="2:17">
      <c r="B156" s="160" t="s">
        <v>118</v>
      </c>
      <c r="C156" s="161" t="s">
        <v>89</v>
      </c>
      <c r="D156" s="163">
        <f t="array" aca="1" ref="D156" ca="1">IFERROR(INDIRECT("'"&amp;"PEF_"&amp;$C156&amp;"'!e$20"),0)+IFERROR(INDIRECT("'"&amp;"PEF_"&amp;$C156&amp;"'!e$44"),0)</f>
        <v>0</v>
      </c>
      <c r="E156" s="163">
        <f t="array" aca="1" ref="E156" ca="1">IFERROR(INDIRECT("'"&amp;"PEF_"&amp;$C156&amp;"'!h$20"),0)+IFERROR(INDIRECT("'"&amp;"PEF_"&amp;$C156&amp;"'!h$44"),0)</f>
        <v>0</v>
      </c>
      <c r="F156" s="163">
        <f t="array" aca="1" ref="F156" ca="1">IFERROR(INDIRECT("'"&amp;"PEF_"&amp;$C156&amp;"'!k$20"),0)+IFERROR(INDIRECT("'"&amp;"PEF_"&amp;$C156&amp;"'!k$44"),0)</f>
        <v>0</v>
      </c>
      <c r="G156" s="163">
        <f t="array" aca="1" ref="G156" ca="1">IFERROR(INDIRECT("'"&amp;"PEF_"&amp;$C156&amp;"'!m$20"),0)+IFERROR(INDIRECT("'"&amp;"PEF_"&amp;$C156&amp;"'!m$44"),0)</f>
        <v>55000</v>
      </c>
      <c r="I156" s="164">
        <v>0</v>
      </c>
      <c r="J156" s="164">
        <v>0</v>
      </c>
      <c r="K156" s="164">
        <v>0</v>
      </c>
      <c r="L156" s="164">
        <v>0</v>
      </c>
      <c r="N156" s="164">
        <f t="shared" ca="1" si="16"/>
        <v>0</v>
      </c>
      <c r="O156" s="164">
        <f t="shared" ca="1" si="17"/>
        <v>0</v>
      </c>
      <c r="P156" s="164">
        <f t="shared" ca="1" si="18"/>
        <v>0</v>
      </c>
      <c r="Q156" s="164">
        <f t="shared" ca="1" si="19"/>
        <v>55000</v>
      </c>
    </row>
    <row r="157" spans="2:17">
      <c r="B157" s="160" t="s">
        <v>117</v>
      </c>
      <c r="C157" s="161" t="s">
        <v>90</v>
      </c>
      <c r="D157" s="163">
        <f t="array" aca="1" ref="D157" ca="1">IFERROR(INDIRECT("'"&amp;"PEF_"&amp;$C157&amp;"'!e$20"),0)+IFERROR(INDIRECT("'"&amp;"PEF_"&amp;$C157&amp;"'!e$44"),0)</f>
        <v>0</v>
      </c>
      <c r="E157" s="163">
        <f t="array" aca="1" ref="E157" ca="1">IFERROR(INDIRECT("'"&amp;"PEF_"&amp;$C157&amp;"'!h$20"),0)+IFERROR(INDIRECT("'"&amp;"PEF_"&amp;$C157&amp;"'!h$44"),0)</f>
        <v>0</v>
      </c>
      <c r="F157" s="163">
        <f t="array" aca="1" ref="F157" ca="1">IFERROR(INDIRECT("'"&amp;"PEF_"&amp;$C157&amp;"'!k$20"),0)+IFERROR(INDIRECT("'"&amp;"PEF_"&amp;$C157&amp;"'!k$44"),0)</f>
        <v>0</v>
      </c>
      <c r="G157" s="163">
        <f t="array" aca="1" ref="G157" ca="1">IFERROR(INDIRECT("'"&amp;"PEF_"&amp;$C157&amp;"'!m$20"),0)+IFERROR(INDIRECT("'"&amp;"PEF_"&amp;$C157&amp;"'!m$44"),0)</f>
        <v>88630</v>
      </c>
      <c r="I157" s="164">
        <v>0</v>
      </c>
      <c r="J157" s="164">
        <v>0</v>
      </c>
      <c r="K157" s="164">
        <v>0</v>
      </c>
      <c r="L157" s="164">
        <v>0</v>
      </c>
      <c r="N157" s="164">
        <f t="shared" ca="1" si="16"/>
        <v>0</v>
      </c>
      <c r="O157" s="164">
        <f t="shared" ca="1" si="17"/>
        <v>0</v>
      </c>
      <c r="P157" s="164">
        <f t="shared" ca="1" si="18"/>
        <v>0</v>
      </c>
      <c r="Q157" s="164">
        <f t="shared" ca="1" si="19"/>
        <v>88630</v>
      </c>
    </row>
    <row r="158" spans="2:17">
      <c r="B158" s="160" t="s">
        <v>118</v>
      </c>
      <c r="C158" s="161" t="s">
        <v>91</v>
      </c>
      <c r="D158" s="163">
        <f t="array" aca="1" ref="D158" ca="1">IFERROR(INDIRECT("'"&amp;"PEF_"&amp;$C158&amp;"'!e$20"),0)+IFERROR(INDIRECT("'"&amp;"PEF_"&amp;$C158&amp;"'!e$44"),0)</f>
        <v>-17137.195600000006</v>
      </c>
      <c r="E158" s="163">
        <f t="array" aca="1" ref="E158" ca="1">IFERROR(INDIRECT("'"&amp;"PEF_"&amp;$C158&amp;"'!h$20"),0)+IFERROR(INDIRECT("'"&amp;"PEF_"&amp;$C158&amp;"'!h$44"),0)</f>
        <v>6991.5350076063842</v>
      </c>
      <c r="F158" s="163">
        <f t="array" aca="1" ref="F158" ca="1">IFERROR(INDIRECT("'"&amp;"PEF_"&amp;$C158&amp;"'!k$20"),0)+IFERROR(INDIRECT("'"&amp;"PEF_"&amp;$C158&amp;"'!k$44"),0)</f>
        <v>7602.0499999999993</v>
      </c>
      <c r="G158" s="163">
        <f t="array" aca="1" ref="G158" ca="1">IFERROR(INDIRECT("'"&amp;"PEF_"&amp;$C158&amp;"'!m$20"),0)+IFERROR(INDIRECT("'"&amp;"PEF_"&amp;$C158&amp;"'!m$44"),0)</f>
        <v>0</v>
      </c>
      <c r="I158" s="164">
        <v>-17137.195600000006</v>
      </c>
      <c r="J158" s="164">
        <v>-688.19007839361529</v>
      </c>
      <c r="K158" s="164">
        <v>7602.0499999999993</v>
      </c>
      <c r="L158" s="164">
        <v>16449</v>
      </c>
      <c r="N158" s="164">
        <f t="shared" ca="1" si="16"/>
        <v>0</v>
      </c>
      <c r="O158" s="164">
        <f t="shared" ca="1" si="17"/>
        <v>7679.7250859999995</v>
      </c>
      <c r="P158" s="164">
        <f t="shared" ca="1" si="18"/>
        <v>0</v>
      </c>
      <c r="Q158" s="164">
        <f t="shared" ca="1" si="19"/>
        <v>-16449</v>
      </c>
    </row>
    <row r="159" spans="2:17">
      <c r="B159" s="160" t="s">
        <v>117</v>
      </c>
      <c r="C159" s="161" t="s">
        <v>92</v>
      </c>
      <c r="D159" s="163">
        <f t="array" aca="1" ref="D159" ca="1">IFERROR(INDIRECT("'"&amp;"PEF_"&amp;$C159&amp;"'!e$20"),0)+IFERROR(INDIRECT("'"&amp;"PEF_"&amp;$C159&amp;"'!e$44"),0)</f>
        <v>0</v>
      </c>
      <c r="E159" s="163">
        <f t="array" aca="1" ref="E159" ca="1">IFERROR(INDIRECT("'"&amp;"PEF_"&amp;$C159&amp;"'!h$20"),0)+IFERROR(INDIRECT("'"&amp;"PEF_"&amp;$C159&amp;"'!h$44"),0)</f>
        <v>0</v>
      </c>
      <c r="F159" s="163">
        <f t="array" aca="1" ref="F159" ca="1">IFERROR(INDIRECT("'"&amp;"PEF_"&amp;$C159&amp;"'!k$20"),0)+IFERROR(INDIRECT("'"&amp;"PEF_"&amp;$C159&amp;"'!k$44"),0)</f>
        <v>0</v>
      </c>
      <c r="G159" s="163">
        <f t="array" aca="1" ref="G159" ca="1">IFERROR(INDIRECT("'"&amp;"PEF_"&amp;$C159&amp;"'!m$20"),0)+IFERROR(INDIRECT("'"&amp;"PEF_"&amp;$C159&amp;"'!m$44"),0)</f>
        <v>0</v>
      </c>
      <c r="I159" s="164">
        <v>0</v>
      </c>
      <c r="J159" s="164">
        <v>0</v>
      </c>
      <c r="K159" s="164">
        <v>0</v>
      </c>
      <c r="L159" s="164">
        <v>0</v>
      </c>
      <c r="N159" s="164">
        <f t="shared" ca="1" si="16"/>
        <v>0</v>
      </c>
      <c r="O159" s="164">
        <f t="shared" ca="1" si="17"/>
        <v>0</v>
      </c>
      <c r="P159" s="164">
        <f t="shared" ca="1" si="18"/>
        <v>0</v>
      </c>
      <c r="Q159" s="164">
        <f t="shared" ca="1" si="19"/>
        <v>0</v>
      </c>
    </row>
    <row r="160" spans="2:17">
      <c r="B160" s="160" t="s">
        <v>117</v>
      </c>
      <c r="C160" s="161" t="s">
        <v>93</v>
      </c>
      <c r="D160" s="163">
        <f t="array" aca="1" ref="D160" ca="1">IFERROR(INDIRECT("'"&amp;"PEF_"&amp;$C160&amp;"'!e$20"),0)+IFERROR(INDIRECT("'"&amp;"PEF_"&amp;$C160&amp;"'!e$44"),0)</f>
        <v>0</v>
      </c>
      <c r="E160" s="163">
        <f t="array" aca="1" ref="E160" ca="1">IFERROR(INDIRECT("'"&amp;"PEF_"&amp;$C160&amp;"'!h$20"),0)+IFERROR(INDIRECT("'"&amp;"PEF_"&amp;$C160&amp;"'!h$44"),0)</f>
        <v>0</v>
      </c>
      <c r="F160" s="163">
        <f t="array" aca="1" ref="F160" ca="1">IFERROR(INDIRECT("'"&amp;"PEF_"&amp;$C160&amp;"'!k$20"),0)+IFERROR(INDIRECT("'"&amp;"PEF_"&amp;$C160&amp;"'!k$44"),0)</f>
        <v>0</v>
      </c>
      <c r="G160" s="163">
        <f t="array" aca="1" ref="G160" ca="1">IFERROR(INDIRECT("'"&amp;"PEF_"&amp;$C160&amp;"'!m$20"),0)+IFERROR(INDIRECT("'"&amp;"PEF_"&amp;$C160&amp;"'!m$44"),0)</f>
        <v>-75000</v>
      </c>
      <c r="I160" s="164">
        <v>0</v>
      </c>
      <c r="J160" s="164">
        <v>0</v>
      </c>
      <c r="K160" s="164">
        <v>0</v>
      </c>
      <c r="L160" s="164">
        <v>0</v>
      </c>
      <c r="N160" s="164">
        <f t="shared" ca="1" si="16"/>
        <v>0</v>
      </c>
      <c r="O160" s="164">
        <f t="shared" ca="1" si="17"/>
        <v>0</v>
      </c>
      <c r="P160" s="164">
        <f t="shared" ca="1" si="18"/>
        <v>0</v>
      </c>
      <c r="Q160" s="164">
        <f t="shared" ca="1" si="19"/>
        <v>-75000</v>
      </c>
    </row>
    <row r="161" spans="2:17">
      <c r="B161" s="160" t="s">
        <v>117</v>
      </c>
      <c r="C161" s="161" t="s">
        <v>94</v>
      </c>
      <c r="D161" s="163">
        <f t="array" aca="1" ref="D161" ca="1">IFERROR(INDIRECT("'"&amp;"PEF_"&amp;$C161&amp;"'!e$20"),0)+IFERROR(INDIRECT("'"&amp;"PEF_"&amp;$C161&amp;"'!e$44"),0)</f>
        <v>0</v>
      </c>
      <c r="E161" s="163">
        <f t="array" aca="1" ref="E161" ca="1">IFERROR(INDIRECT("'"&amp;"PEF_"&amp;$C161&amp;"'!h$20"),0)+IFERROR(INDIRECT("'"&amp;"PEF_"&amp;$C161&amp;"'!h$44"),0)</f>
        <v>0</v>
      </c>
      <c r="F161" s="163">
        <f t="array" aca="1" ref="F161" ca="1">IFERROR(INDIRECT("'"&amp;"PEF_"&amp;$C161&amp;"'!k$20"),0)+IFERROR(INDIRECT("'"&amp;"PEF_"&amp;$C161&amp;"'!k$44"),0)</f>
        <v>0</v>
      </c>
      <c r="G161" s="163">
        <f t="array" aca="1" ref="G161" ca="1">IFERROR(INDIRECT("'"&amp;"PEF_"&amp;$C161&amp;"'!m$20"),0)+IFERROR(INDIRECT("'"&amp;"PEF_"&amp;$C161&amp;"'!m$44"),0)</f>
        <v>0</v>
      </c>
      <c r="I161" s="164">
        <v>0</v>
      </c>
      <c r="J161" s="164">
        <v>0</v>
      </c>
      <c r="K161" s="164">
        <v>0</v>
      </c>
      <c r="L161" s="164">
        <v>0</v>
      </c>
      <c r="N161" s="164">
        <f t="shared" ca="1" si="16"/>
        <v>0</v>
      </c>
      <c r="O161" s="164">
        <f t="shared" ca="1" si="17"/>
        <v>0</v>
      </c>
      <c r="P161" s="164">
        <f t="shared" ca="1" si="18"/>
        <v>0</v>
      </c>
      <c r="Q161" s="164">
        <f t="shared" ca="1" si="19"/>
        <v>0</v>
      </c>
    </row>
    <row r="162" spans="2:17">
      <c r="B162" s="160" t="s">
        <v>118</v>
      </c>
      <c r="C162" s="161" t="s">
        <v>95</v>
      </c>
      <c r="D162" s="163">
        <f t="array" aca="1" ref="D162" ca="1">IFERROR(INDIRECT("'"&amp;"PEF_"&amp;$C162&amp;"'!e$20"),0)+IFERROR(INDIRECT("'"&amp;"PEF_"&amp;$C162&amp;"'!e$44"),0)</f>
        <v>0</v>
      </c>
      <c r="E162" s="163">
        <f t="array" aca="1" ref="E162" ca="1">IFERROR(INDIRECT("'"&amp;"PEF_"&amp;$C162&amp;"'!h$20"),0)+IFERROR(INDIRECT("'"&amp;"PEF_"&amp;$C162&amp;"'!h$44"),0)</f>
        <v>0</v>
      </c>
      <c r="F162" s="163">
        <f t="array" aca="1" ref="F162" ca="1">IFERROR(INDIRECT("'"&amp;"PEF_"&amp;$C162&amp;"'!k$20"),0)+IFERROR(INDIRECT("'"&amp;"PEF_"&amp;$C162&amp;"'!k$44"),0)</f>
        <v>0</v>
      </c>
      <c r="G162" s="163">
        <f t="array" aca="1" ref="G162" ca="1">IFERROR(INDIRECT("'"&amp;"PEF_"&amp;$C162&amp;"'!m$20"),0)+IFERROR(INDIRECT("'"&amp;"PEF_"&amp;$C162&amp;"'!m$44"),0)</f>
        <v>90000</v>
      </c>
      <c r="I162" s="164">
        <v>0</v>
      </c>
      <c r="J162" s="164">
        <v>0</v>
      </c>
      <c r="K162" s="164">
        <v>0</v>
      </c>
      <c r="L162" s="164">
        <v>0</v>
      </c>
      <c r="N162" s="164">
        <f t="shared" ca="1" si="16"/>
        <v>0</v>
      </c>
      <c r="O162" s="164">
        <f t="shared" ca="1" si="17"/>
        <v>0</v>
      </c>
      <c r="P162" s="164">
        <f t="shared" ca="1" si="18"/>
        <v>0</v>
      </c>
      <c r="Q162" s="164">
        <f t="shared" ca="1" si="19"/>
        <v>90000</v>
      </c>
    </row>
    <row r="163" spans="2:17">
      <c r="B163" s="160" t="s">
        <v>117</v>
      </c>
      <c r="C163" s="161" t="s">
        <v>96</v>
      </c>
      <c r="D163" s="163">
        <f t="array" aca="1" ref="D163" ca="1">IFERROR(INDIRECT("'"&amp;"PEF_"&amp;$C163&amp;"'!e$20"),0)+IFERROR(INDIRECT("'"&amp;"PEF_"&amp;$C163&amp;"'!e$44"),0)</f>
        <v>0</v>
      </c>
      <c r="E163" s="163">
        <f t="array" aca="1" ref="E163" ca="1">IFERROR(INDIRECT("'"&amp;"PEF_"&amp;$C163&amp;"'!h$20"),0)+IFERROR(INDIRECT("'"&amp;"PEF_"&amp;$C163&amp;"'!h$44"),0)</f>
        <v>0</v>
      </c>
      <c r="F163" s="163">
        <f t="array" aca="1" ref="F163" ca="1">IFERROR(INDIRECT("'"&amp;"PEF_"&amp;$C163&amp;"'!k$20"),0)+IFERROR(INDIRECT("'"&amp;"PEF_"&amp;$C163&amp;"'!k$44"),0)</f>
        <v>0</v>
      </c>
      <c r="G163" s="163">
        <f t="array" aca="1" ref="G163" ca="1">IFERROR(INDIRECT("'"&amp;"PEF_"&amp;$C163&amp;"'!m$20"),0)+IFERROR(INDIRECT("'"&amp;"PEF_"&amp;$C163&amp;"'!m$44"),0)</f>
        <v>0</v>
      </c>
      <c r="I163" s="164">
        <v>0</v>
      </c>
      <c r="J163" s="164">
        <v>0</v>
      </c>
      <c r="K163" s="164">
        <v>0</v>
      </c>
      <c r="L163" s="164">
        <v>0</v>
      </c>
      <c r="N163" s="164">
        <f t="shared" ca="1" si="16"/>
        <v>0</v>
      </c>
      <c r="O163" s="164">
        <f t="shared" ca="1" si="17"/>
        <v>0</v>
      </c>
      <c r="P163" s="164">
        <f t="shared" ca="1" si="18"/>
        <v>0</v>
      </c>
      <c r="Q163" s="164">
        <f t="shared" ca="1" si="19"/>
        <v>0</v>
      </c>
    </row>
    <row r="164" spans="2:17">
      <c r="B164" s="160" t="s">
        <v>118</v>
      </c>
      <c r="C164" s="161" t="s">
        <v>97</v>
      </c>
      <c r="D164" s="163">
        <f t="array" aca="1" ref="D164" ca="1">IFERROR(INDIRECT("'"&amp;"PEF_"&amp;$C164&amp;"'!e$20"),0)+IFERROR(INDIRECT("'"&amp;"PEF_"&amp;$C164&amp;"'!e$44"),0)</f>
        <v>0</v>
      </c>
      <c r="E164" s="163">
        <f t="array" aca="1" ref="E164" ca="1">IFERROR(INDIRECT("'"&amp;"PEF_"&amp;$C164&amp;"'!h$20"),0)+IFERROR(INDIRECT("'"&amp;"PEF_"&amp;$C164&amp;"'!h$44"),0)</f>
        <v>0</v>
      </c>
      <c r="F164" s="163">
        <f t="array" aca="1" ref="F164" ca="1">IFERROR(INDIRECT("'"&amp;"PEF_"&amp;$C164&amp;"'!k$20"),0)+IFERROR(INDIRECT("'"&amp;"PEF_"&amp;$C164&amp;"'!k$44"),0)</f>
        <v>-11556.293734094996</v>
      </c>
      <c r="G164" s="163">
        <f t="array" aca="1" ref="G164" ca="1">IFERROR(INDIRECT("'"&amp;"PEF_"&amp;$C164&amp;"'!m$20"),0)+IFERROR(INDIRECT("'"&amp;"PEF_"&amp;$C164&amp;"'!m$44"),0)</f>
        <v>0</v>
      </c>
      <c r="I164" s="164">
        <v>0</v>
      </c>
      <c r="J164" s="164">
        <v>0</v>
      </c>
      <c r="K164" s="164">
        <v>-11556.293734094996</v>
      </c>
      <c r="L164" s="164">
        <v>0</v>
      </c>
      <c r="N164" s="164">
        <f t="shared" ca="1" si="16"/>
        <v>0</v>
      </c>
      <c r="O164" s="164">
        <f t="shared" ca="1" si="17"/>
        <v>0</v>
      </c>
      <c r="P164" s="164">
        <f t="shared" ca="1" si="18"/>
        <v>0</v>
      </c>
      <c r="Q164" s="164">
        <f t="shared" ca="1" si="19"/>
        <v>0</v>
      </c>
    </row>
    <row r="165" spans="2:17">
      <c r="B165" s="160" t="s">
        <v>117</v>
      </c>
      <c r="C165" s="161" t="s">
        <v>98</v>
      </c>
      <c r="D165" s="163">
        <f t="array" aca="1" ref="D165" ca="1">IFERROR(INDIRECT("'"&amp;"PEF_"&amp;$C165&amp;"'!e$20"),0)+IFERROR(INDIRECT("'"&amp;"PEF_"&amp;$C165&amp;"'!e$44"),0)</f>
        <v>0</v>
      </c>
      <c r="E165" s="163">
        <f t="array" aca="1" ref="E165" ca="1">IFERROR(INDIRECT("'"&amp;"PEF_"&amp;$C165&amp;"'!h$20"),0)+IFERROR(INDIRECT("'"&amp;"PEF_"&amp;$C165&amp;"'!h$44"),0)</f>
        <v>0</v>
      </c>
      <c r="F165" s="163">
        <f t="array" aca="1" ref="F165" ca="1">IFERROR(INDIRECT("'"&amp;"PEF_"&amp;$C165&amp;"'!k$20"),0)+IFERROR(INDIRECT("'"&amp;"PEF_"&amp;$C165&amp;"'!k$44"),0)</f>
        <v>0</v>
      </c>
      <c r="G165" s="163">
        <f t="array" aca="1" ref="G165" ca="1">IFERROR(INDIRECT("'"&amp;"PEF_"&amp;$C165&amp;"'!m$20"),0)+IFERROR(INDIRECT("'"&amp;"PEF_"&amp;$C165&amp;"'!m$44"),0)</f>
        <v>0</v>
      </c>
      <c r="I165" s="164">
        <v>0</v>
      </c>
      <c r="J165" s="164">
        <v>0</v>
      </c>
      <c r="K165" s="164">
        <v>0</v>
      </c>
      <c r="L165" s="164">
        <v>0</v>
      </c>
      <c r="N165" s="164">
        <f t="shared" ca="1" si="16"/>
        <v>0</v>
      </c>
      <c r="O165" s="164">
        <f t="shared" ca="1" si="17"/>
        <v>0</v>
      </c>
      <c r="P165" s="164">
        <f t="shared" ca="1" si="18"/>
        <v>0</v>
      </c>
      <c r="Q165" s="164">
        <f t="shared" ca="1" si="19"/>
        <v>0</v>
      </c>
    </row>
    <row r="166" spans="2:17">
      <c r="B166" s="160" t="s">
        <v>117</v>
      </c>
      <c r="C166" s="161" t="s">
        <v>99</v>
      </c>
      <c r="D166" s="163">
        <f t="array" aca="1" ref="D166" ca="1">IFERROR(INDIRECT("'"&amp;"PEF_"&amp;$C166&amp;"'!e$20"),0)+IFERROR(INDIRECT("'"&amp;"PEF_"&amp;$C166&amp;"'!e$44"),0)</f>
        <v>0</v>
      </c>
      <c r="E166" s="163">
        <f t="array" aca="1" ref="E166" ca="1">IFERROR(INDIRECT("'"&amp;"PEF_"&amp;$C166&amp;"'!h$20"),0)+IFERROR(INDIRECT("'"&amp;"PEF_"&amp;$C166&amp;"'!h$44"),0)</f>
        <v>0</v>
      </c>
      <c r="F166" s="163">
        <f t="array" aca="1" ref="F166" ca="1">IFERROR(INDIRECT("'"&amp;"PEF_"&amp;$C166&amp;"'!k$20"),0)+IFERROR(INDIRECT("'"&amp;"PEF_"&amp;$C166&amp;"'!k$44"),0)</f>
        <v>0</v>
      </c>
      <c r="G166" s="163">
        <f t="array" aca="1" ref="G166" ca="1">IFERROR(INDIRECT("'"&amp;"PEF_"&amp;$C166&amp;"'!m$20"),0)+IFERROR(INDIRECT("'"&amp;"PEF_"&amp;$C166&amp;"'!m$44"),0)</f>
        <v>0</v>
      </c>
      <c r="I166" s="164">
        <v>0</v>
      </c>
      <c r="J166" s="164">
        <v>0</v>
      </c>
      <c r="K166" s="164">
        <v>0</v>
      </c>
      <c r="L166" s="164">
        <v>0</v>
      </c>
      <c r="N166" s="164">
        <f t="shared" ca="1" si="16"/>
        <v>0</v>
      </c>
      <c r="O166" s="164">
        <f t="shared" ca="1" si="17"/>
        <v>0</v>
      </c>
      <c r="P166" s="164">
        <f t="shared" ca="1" si="18"/>
        <v>0</v>
      </c>
      <c r="Q166" s="164">
        <f t="shared" ca="1" si="19"/>
        <v>0</v>
      </c>
    </row>
    <row r="167" spans="2:17">
      <c r="B167" s="160" t="s">
        <v>117</v>
      </c>
      <c r="C167" s="161" t="s">
        <v>100</v>
      </c>
      <c r="D167" s="163">
        <f t="array" aca="1" ref="D167" ca="1">IFERROR(INDIRECT("'"&amp;"PEF_"&amp;$C167&amp;"'!e$20"),0)+IFERROR(INDIRECT("'"&amp;"PEF_"&amp;$C167&amp;"'!e$44"),0)</f>
        <v>0</v>
      </c>
      <c r="E167" s="163">
        <f t="array" aca="1" ref="E167" ca="1">IFERROR(INDIRECT("'"&amp;"PEF_"&amp;$C167&amp;"'!h$20"),0)+IFERROR(INDIRECT("'"&amp;"PEF_"&amp;$C167&amp;"'!h$44"),0)</f>
        <v>0</v>
      </c>
      <c r="F167" s="163">
        <f t="array" aca="1" ref="F167" ca="1">IFERROR(INDIRECT("'"&amp;"PEF_"&amp;$C167&amp;"'!k$20"),0)+IFERROR(INDIRECT("'"&amp;"PEF_"&amp;$C167&amp;"'!k$44"),0)</f>
        <v>0</v>
      </c>
      <c r="G167" s="163">
        <f t="array" aca="1" ref="G167" ca="1">IFERROR(INDIRECT("'"&amp;"PEF_"&amp;$C167&amp;"'!m$20"),0)+IFERROR(INDIRECT("'"&amp;"PEF_"&amp;$C167&amp;"'!m$44"),0)</f>
        <v>0</v>
      </c>
      <c r="I167" s="164">
        <v>0</v>
      </c>
      <c r="J167" s="164">
        <v>0</v>
      </c>
      <c r="K167" s="164">
        <v>0</v>
      </c>
      <c r="L167" s="164">
        <v>0</v>
      </c>
      <c r="N167" s="164">
        <f t="shared" ca="1" si="16"/>
        <v>0</v>
      </c>
      <c r="O167" s="164">
        <f t="shared" ca="1" si="17"/>
        <v>0</v>
      </c>
      <c r="P167" s="164">
        <f t="shared" ca="1" si="18"/>
        <v>0</v>
      </c>
      <c r="Q167" s="164">
        <f t="shared" ca="1" si="19"/>
        <v>0</v>
      </c>
    </row>
    <row r="168" spans="2:17">
      <c r="B168" s="160" t="s">
        <v>118</v>
      </c>
      <c r="C168" s="161" t="s">
        <v>101</v>
      </c>
      <c r="D168" s="163">
        <f t="array" aca="1" ref="D168" ca="1">IFERROR(INDIRECT("'"&amp;"PEF_"&amp;$C168&amp;"'!e$20"),0)+IFERROR(INDIRECT("'"&amp;"PEF_"&amp;$C168&amp;"'!e$44"),0)</f>
        <v>0</v>
      </c>
      <c r="E168" s="163">
        <f t="array" aca="1" ref="E168" ca="1">IFERROR(INDIRECT("'"&amp;"PEF_"&amp;$C168&amp;"'!h$20"),0)+IFERROR(INDIRECT("'"&amp;"PEF_"&amp;$C168&amp;"'!h$44"),0)</f>
        <v>0</v>
      </c>
      <c r="F168" s="163">
        <f t="array" aca="1" ref="F168" ca="1">IFERROR(INDIRECT("'"&amp;"PEF_"&amp;$C168&amp;"'!k$20"),0)+IFERROR(INDIRECT("'"&amp;"PEF_"&amp;$C168&amp;"'!k$44"),0)</f>
        <v>0</v>
      </c>
      <c r="G168" s="163">
        <f t="array" aca="1" ref="G168" ca="1">IFERROR(INDIRECT("'"&amp;"PEF_"&amp;$C168&amp;"'!m$20"),0)+IFERROR(INDIRECT("'"&amp;"PEF_"&amp;$C168&amp;"'!m$44"),0)</f>
        <v>179176.33333333334</v>
      </c>
      <c r="I168" s="164">
        <v>0</v>
      </c>
      <c r="J168" s="164">
        <v>0</v>
      </c>
      <c r="K168" s="164">
        <v>0</v>
      </c>
      <c r="L168" s="164">
        <v>-117883</v>
      </c>
      <c r="N168" s="164">
        <f t="shared" ca="1" si="16"/>
        <v>0</v>
      </c>
      <c r="O168" s="164">
        <f t="shared" ca="1" si="17"/>
        <v>0</v>
      </c>
      <c r="P168" s="164">
        <f t="shared" ca="1" si="18"/>
        <v>0</v>
      </c>
      <c r="Q168" s="164">
        <f t="shared" ca="1" si="19"/>
        <v>297059.33333333337</v>
      </c>
    </row>
    <row r="169" spans="2:17">
      <c r="B169" s="160" t="s">
        <v>118</v>
      </c>
      <c r="C169" s="161" t="s">
        <v>102</v>
      </c>
      <c r="D169" s="163">
        <f t="array" aca="1" ref="D169" ca="1">IFERROR(INDIRECT("'"&amp;"PEF_"&amp;$C169&amp;"'!e$20"),0)+IFERROR(INDIRECT("'"&amp;"PEF_"&amp;$C169&amp;"'!e$44"),0)</f>
        <v>-29001.146674573538</v>
      </c>
      <c r="E169" s="163">
        <f t="array" aca="1" ref="E169" ca="1">IFERROR(INDIRECT("'"&amp;"PEF_"&amp;$C169&amp;"'!h$20"),0)+IFERROR(INDIRECT("'"&amp;"PEF_"&amp;$C169&amp;"'!h$44"),0)</f>
        <v>-29001.146674573538</v>
      </c>
      <c r="F169" s="163">
        <f t="array" aca="1" ref="F169" ca="1">IFERROR(INDIRECT("'"&amp;"PEF_"&amp;$C169&amp;"'!k$20"),0)+IFERROR(INDIRECT("'"&amp;"PEF_"&amp;$C169&amp;"'!k$44"),0)</f>
        <v>-15573.918366499998</v>
      </c>
      <c r="G169" s="163">
        <f t="array" aca="1" ref="G169" ca="1">IFERROR(INDIRECT("'"&amp;"PEF_"&amp;$C169&amp;"'!m$20"),0)+IFERROR(INDIRECT("'"&amp;"PEF_"&amp;$C169&amp;"'!m$44"),0)</f>
        <v>0</v>
      </c>
      <c r="I169" s="164">
        <v>-29001.146674573538</v>
      </c>
      <c r="J169" s="164">
        <v>-29001.146674573538</v>
      </c>
      <c r="K169" s="164">
        <v>-15573.918366499998</v>
      </c>
      <c r="L169" s="164">
        <v>0</v>
      </c>
      <c r="N169" s="164">
        <f t="shared" ca="1" si="16"/>
        <v>0</v>
      </c>
      <c r="O169" s="164">
        <f t="shared" ca="1" si="17"/>
        <v>0</v>
      </c>
      <c r="P169" s="164">
        <f t="shared" ca="1" si="18"/>
        <v>0</v>
      </c>
      <c r="Q169" s="164">
        <f t="shared" ca="1" si="19"/>
        <v>0</v>
      </c>
    </row>
    <row r="170" spans="2:17">
      <c r="B170" s="160" t="s">
        <v>118</v>
      </c>
      <c r="C170" s="161" t="s">
        <v>103</v>
      </c>
      <c r="D170" s="163">
        <f t="array" aca="1" ref="D170" ca="1">IFERROR(INDIRECT("'"&amp;"PEF_"&amp;$C170&amp;"'!e$20"),0)+IFERROR(INDIRECT("'"&amp;"PEF_"&amp;$C170&amp;"'!e$44"),0)</f>
        <v>-10409.577907759158</v>
      </c>
      <c r="E170" s="163">
        <f t="array" aca="1" ref="E170" ca="1">IFERROR(INDIRECT("'"&amp;"PEF_"&amp;$C170&amp;"'!h$20"),0)+IFERROR(INDIRECT("'"&amp;"PEF_"&amp;$C170&amp;"'!h$44"),0)</f>
        <v>-24394.577907759158</v>
      </c>
      <c r="F170" s="163">
        <f t="array" aca="1" ref="F170" ca="1">IFERROR(INDIRECT("'"&amp;"PEF_"&amp;$C170&amp;"'!k$20"),0)+IFERROR(INDIRECT("'"&amp;"PEF_"&amp;$C170&amp;"'!k$44"),0)</f>
        <v>-23704.961487500001</v>
      </c>
      <c r="G170" s="163">
        <f t="array" aca="1" ref="G170" ca="1">IFERROR(INDIRECT("'"&amp;"PEF_"&amp;$C170&amp;"'!m$20"),0)+IFERROR(INDIRECT("'"&amp;"PEF_"&amp;$C170&amp;"'!m$44"),0)</f>
        <v>40000</v>
      </c>
      <c r="I170" s="164">
        <v>-10409.577907759158</v>
      </c>
      <c r="J170" s="164">
        <v>-24394.577907759158</v>
      </c>
      <c r="K170" s="164">
        <v>-23704.961487500001</v>
      </c>
      <c r="L170" s="164">
        <v>-15000</v>
      </c>
      <c r="N170" s="164">
        <f t="shared" ca="1" si="16"/>
        <v>0</v>
      </c>
      <c r="O170" s="164">
        <f t="shared" ca="1" si="17"/>
        <v>0</v>
      </c>
      <c r="P170" s="164">
        <f t="shared" ca="1" si="18"/>
        <v>0</v>
      </c>
      <c r="Q170" s="164">
        <f t="shared" ca="1" si="19"/>
        <v>55000</v>
      </c>
    </row>
    <row r="171" spans="2:17">
      <c r="B171" s="160" t="s">
        <v>118</v>
      </c>
      <c r="C171" s="161" t="s">
        <v>104</v>
      </c>
      <c r="D171" s="163">
        <f t="array" aca="1" ref="D171" ca="1">IFERROR(INDIRECT("'"&amp;"PEF_"&amp;$C171&amp;"'!e$20"),0)+IFERROR(INDIRECT("'"&amp;"PEF_"&amp;$C171&amp;"'!e$44"),0)</f>
        <v>-2703.3717903771385</v>
      </c>
      <c r="E171" s="163">
        <f t="array" aca="1" ref="E171" ca="1">IFERROR(INDIRECT("'"&amp;"PEF_"&amp;$C171&amp;"'!h$20"),0)+IFERROR(INDIRECT("'"&amp;"PEF_"&amp;$C171&amp;"'!h$44"),0)</f>
        <v>-2703.3717903771385</v>
      </c>
      <c r="F171" s="163">
        <f t="array" aca="1" ref="F171" ca="1">IFERROR(INDIRECT("'"&amp;"PEF_"&amp;$C171&amp;"'!k$20"),0)+IFERROR(INDIRECT("'"&amp;"PEF_"&amp;$C171&amp;"'!k$44"),0)</f>
        <v>-5871.2607817500002</v>
      </c>
      <c r="G171" s="163">
        <f t="array" aca="1" ref="G171" ca="1">IFERROR(INDIRECT("'"&amp;"PEF_"&amp;$C171&amp;"'!m$20"),0)+IFERROR(INDIRECT("'"&amp;"PEF_"&amp;$C171&amp;"'!m$44"),0)</f>
        <v>-10000</v>
      </c>
      <c r="I171" s="164">
        <v>-2703.3717903771385</v>
      </c>
      <c r="J171" s="164">
        <v>-2703.3717903771385</v>
      </c>
      <c r="K171" s="164">
        <v>-5871.2607817500002</v>
      </c>
      <c r="L171" s="164">
        <v>0</v>
      </c>
      <c r="N171" s="164">
        <f t="shared" ca="1" si="16"/>
        <v>0</v>
      </c>
      <c r="O171" s="164">
        <f t="shared" ca="1" si="17"/>
        <v>0</v>
      </c>
      <c r="P171" s="164">
        <f t="shared" ca="1" si="18"/>
        <v>0</v>
      </c>
      <c r="Q171" s="164">
        <f t="shared" ca="1" si="19"/>
        <v>-10000</v>
      </c>
    </row>
    <row r="172" spans="2:17">
      <c r="B172" s="160" t="s">
        <v>118</v>
      </c>
      <c r="C172" s="161" t="s">
        <v>105</v>
      </c>
      <c r="D172" s="163">
        <f t="array" aca="1" ref="D172" ca="1">IFERROR(INDIRECT("'"&amp;"PEF_"&amp;$C172&amp;"'!e$20"),0)+IFERROR(INDIRECT("'"&amp;"PEF_"&amp;$C172&amp;"'!e$44"),0)</f>
        <v>-5656.8707932999987</v>
      </c>
      <c r="E172" s="163">
        <f t="array" aca="1" ref="E172" ca="1">IFERROR(INDIRECT("'"&amp;"PEF_"&amp;$C172&amp;"'!h$20"),0)+IFERROR(INDIRECT("'"&amp;"PEF_"&amp;$C172&amp;"'!h$44"),0)</f>
        <v>-5656.8707932999987</v>
      </c>
      <c r="F172" s="163">
        <f t="array" aca="1" ref="F172" ca="1">IFERROR(INDIRECT("'"&amp;"PEF_"&amp;$C172&amp;"'!k$20"),0)+IFERROR(INDIRECT("'"&amp;"PEF_"&amp;$C172&amp;"'!k$44"),0)</f>
        <v>-8101.5276612999996</v>
      </c>
      <c r="G172" s="163">
        <f t="array" aca="1" ref="G172" ca="1">IFERROR(INDIRECT("'"&amp;"PEF_"&amp;$C172&amp;"'!m$20"),0)+IFERROR(INDIRECT("'"&amp;"PEF_"&amp;$C172&amp;"'!m$44"),0)</f>
        <v>0</v>
      </c>
      <c r="I172" s="164">
        <v>-10642.670793299998</v>
      </c>
      <c r="J172" s="164">
        <v>-10642.670793299998</v>
      </c>
      <c r="K172" s="164">
        <v>-8101.5276612999996</v>
      </c>
      <c r="L172" s="164">
        <v>0</v>
      </c>
      <c r="N172" s="164">
        <f t="shared" ca="1" si="16"/>
        <v>4985.7999999999993</v>
      </c>
      <c r="O172" s="164">
        <f t="shared" ca="1" si="17"/>
        <v>4985.7999999999993</v>
      </c>
      <c r="P172" s="164">
        <f t="shared" ca="1" si="18"/>
        <v>0</v>
      </c>
      <c r="Q172" s="164">
        <f t="shared" ca="1" si="19"/>
        <v>0</v>
      </c>
    </row>
    <row r="173" spans="2:17">
      <c r="B173" s="160" t="s">
        <v>117</v>
      </c>
      <c r="C173" s="161" t="s">
        <v>106</v>
      </c>
      <c r="D173" s="163">
        <f t="array" aca="1" ref="D173" ca="1">IFERROR(INDIRECT("'"&amp;"PEF_"&amp;$C173&amp;"'!e$20"),0)+IFERROR(INDIRECT("'"&amp;"PEF_"&amp;$C173&amp;"'!e$44"),0)</f>
        <v>0</v>
      </c>
      <c r="E173" s="163">
        <f t="array" aca="1" ref="E173" ca="1">IFERROR(INDIRECT("'"&amp;"PEF_"&amp;$C173&amp;"'!h$20"),0)+IFERROR(INDIRECT("'"&amp;"PEF_"&amp;$C173&amp;"'!h$44"),0)</f>
        <v>0</v>
      </c>
      <c r="F173" s="163">
        <f t="array" aca="1" ref="F173" ca="1">IFERROR(INDIRECT("'"&amp;"PEF_"&amp;$C173&amp;"'!k$20"),0)+IFERROR(INDIRECT("'"&amp;"PEF_"&amp;$C173&amp;"'!k$44"),0)</f>
        <v>0</v>
      </c>
      <c r="G173" s="163">
        <f t="array" aca="1" ref="G173" ca="1">IFERROR(INDIRECT("'"&amp;"PEF_"&amp;$C173&amp;"'!m$20"),0)+IFERROR(INDIRECT("'"&amp;"PEF_"&amp;$C173&amp;"'!m$44"),0)</f>
        <v>0</v>
      </c>
      <c r="I173" s="164">
        <v>0</v>
      </c>
      <c r="J173" s="164">
        <v>0</v>
      </c>
      <c r="K173" s="164">
        <v>0</v>
      </c>
      <c r="L173" s="164">
        <v>0</v>
      </c>
      <c r="N173" s="164">
        <f t="shared" ca="1" si="16"/>
        <v>0</v>
      </c>
      <c r="O173" s="164">
        <f t="shared" ca="1" si="17"/>
        <v>0</v>
      </c>
      <c r="P173" s="164">
        <f t="shared" ca="1" si="18"/>
        <v>0</v>
      </c>
      <c r="Q173" s="164">
        <f t="shared" ca="1" si="19"/>
        <v>0</v>
      </c>
    </row>
    <row r="174" spans="2:17">
      <c r="B174" s="160" t="s">
        <v>117</v>
      </c>
      <c r="C174" s="161" t="s">
        <v>107</v>
      </c>
      <c r="D174" s="163">
        <f t="array" aca="1" ref="D174" ca="1">IFERROR(INDIRECT("'"&amp;"PEF_"&amp;$C174&amp;"'!e$20"),0)+IFERROR(INDIRECT("'"&amp;"PEF_"&amp;$C174&amp;"'!e$44"),0)</f>
        <v>0</v>
      </c>
      <c r="E174" s="163">
        <f t="array" aca="1" ref="E174" ca="1">IFERROR(INDIRECT("'"&amp;"PEF_"&amp;$C174&amp;"'!h$20"),0)+IFERROR(INDIRECT("'"&amp;"PEF_"&amp;$C174&amp;"'!h$44"),0)</f>
        <v>0</v>
      </c>
      <c r="F174" s="163">
        <f t="array" aca="1" ref="F174" ca="1">IFERROR(INDIRECT("'"&amp;"PEF_"&amp;$C174&amp;"'!k$20"),0)+IFERROR(INDIRECT("'"&amp;"PEF_"&amp;$C174&amp;"'!k$44"),0)</f>
        <v>0</v>
      </c>
      <c r="G174" s="163">
        <f t="array" aca="1" ref="G174" ca="1">IFERROR(INDIRECT("'"&amp;"PEF_"&amp;$C174&amp;"'!m$20"),0)+IFERROR(INDIRECT("'"&amp;"PEF_"&amp;$C174&amp;"'!m$44"),0)</f>
        <v>35000</v>
      </c>
      <c r="I174" s="164">
        <v>0</v>
      </c>
      <c r="J174" s="164">
        <v>0</v>
      </c>
      <c r="K174" s="164">
        <v>0</v>
      </c>
      <c r="L174" s="164">
        <v>0</v>
      </c>
      <c r="N174" s="164">
        <f t="shared" ca="1" si="16"/>
        <v>0</v>
      </c>
      <c r="O174" s="164">
        <f t="shared" ca="1" si="17"/>
        <v>0</v>
      </c>
      <c r="P174" s="164">
        <f t="shared" ca="1" si="18"/>
        <v>0</v>
      </c>
      <c r="Q174" s="164">
        <f t="shared" ca="1" si="19"/>
        <v>35000</v>
      </c>
    </row>
    <row r="175" spans="2:17">
      <c r="B175" s="160" t="s">
        <v>117</v>
      </c>
      <c r="C175" s="161" t="s">
        <v>108</v>
      </c>
      <c r="D175" s="163">
        <f t="array" aca="1" ref="D175" ca="1">IFERROR(INDIRECT("'"&amp;"PEF_"&amp;$C175&amp;"'!e$20"),0)+IFERROR(INDIRECT("'"&amp;"PEF_"&amp;$C175&amp;"'!e$44"),0)</f>
        <v>0</v>
      </c>
      <c r="E175" s="163">
        <f t="array" aca="1" ref="E175" ca="1">IFERROR(INDIRECT("'"&amp;"PEF_"&amp;$C175&amp;"'!h$20"),0)+IFERROR(INDIRECT("'"&amp;"PEF_"&amp;$C175&amp;"'!h$44"),0)</f>
        <v>0</v>
      </c>
      <c r="F175" s="163">
        <f t="array" aca="1" ref="F175" ca="1">IFERROR(INDIRECT("'"&amp;"PEF_"&amp;$C175&amp;"'!k$20"),0)+IFERROR(INDIRECT("'"&amp;"PEF_"&amp;$C175&amp;"'!k$44"),0)</f>
        <v>0</v>
      </c>
      <c r="G175" s="163">
        <f t="array" aca="1" ref="G175" ca="1">IFERROR(INDIRECT("'"&amp;"PEF_"&amp;$C175&amp;"'!m$20"),0)+IFERROR(INDIRECT("'"&amp;"PEF_"&amp;$C175&amp;"'!m$44"),0)</f>
        <v>0</v>
      </c>
      <c r="I175" s="164">
        <v>0</v>
      </c>
      <c r="J175" s="164">
        <v>0</v>
      </c>
      <c r="K175" s="164">
        <v>0</v>
      </c>
      <c r="L175" s="164">
        <v>0</v>
      </c>
      <c r="N175" s="164">
        <f t="shared" ca="1" si="16"/>
        <v>0</v>
      </c>
      <c r="O175" s="164">
        <f t="shared" ca="1" si="17"/>
        <v>0</v>
      </c>
      <c r="P175" s="164">
        <f t="shared" ca="1" si="18"/>
        <v>0</v>
      </c>
      <c r="Q175" s="164">
        <f t="shared" ca="1" si="19"/>
        <v>0</v>
      </c>
    </row>
    <row r="176" spans="2:17">
      <c r="B176" s="160" t="s">
        <v>117</v>
      </c>
      <c r="C176" s="161" t="s">
        <v>109</v>
      </c>
      <c r="D176" s="163">
        <f t="array" aca="1" ref="D176" ca="1">IFERROR(INDIRECT("'"&amp;"PEF_"&amp;$C176&amp;"'!e$20"),0)+IFERROR(INDIRECT("'"&amp;"PEF_"&amp;$C176&amp;"'!e$44"),0)</f>
        <v>0</v>
      </c>
      <c r="E176" s="163">
        <f t="array" aca="1" ref="E176" ca="1">IFERROR(INDIRECT("'"&amp;"PEF_"&amp;$C176&amp;"'!h$20"),0)+IFERROR(INDIRECT("'"&amp;"PEF_"&amp;$C176&amp;"'!h$44"),0)</f>
        <v>0</v>
      </c>
      <c r="F176" s="163">
        <f t="array" aca="1" ref="F176" ca="1">IFERROR(INDIRECT("'"&amp;"PEF_"&amp;$C176&amp;"'!k$20"),0)+IFERROR(INDIRECT("'"&amp;"PEF_"&amp;$C176&amp;"'!k$44"),0)</f>
        <v>0</v>
      </c>
      <c r="G176" s="163">
        <f t="array" aca="1" ref="G176" ca="1">IFERROR(INDIRECT("'"&amp;"PEF_"&amp;$C176&amp;"'!m$20"),0)+IFERROR(INDIRECT("'"&amp;"PEF_"&amp;$C176&amp;"'!m$44"),0)</f>
        <v>0</v>
      </c>
      <c r="I176" s="164">
        <v>0</v>
      </c>
      <c r="J176" s="164">
        <v>0</v>
      </c>
      <c r="K176" s="164">
        <v>0</v>
      </c>
      <c r="L176" s="164">
        <v>0</v>
      </c>
      <c r="N176" s="164">
        <f t="shared" ca="1" si="16"/>
        <v>0</v>
      </c>
      <c r="O176" s="164">
        <f t="shared" ca="1" si="17"/>
        <v>0</v>
      </c>
      <c r="P176" s="164">
        <f t="shared" ca="1" si="18"/>
        <v>0</v>
      </c>
      <c r="Q176" s="164">
        <f t="shared" ca="1" si="19"/>
        <v>0</v>
      </c>
    </row>
    <row r="177" spans="2:17">
      <c r="B177" s="160" t="s">
        <v>118</v>
      </c>
      <c r="C177" s="161" t="s">
        <v>110</v>
      </c>
      <c r="D177" s="163">
        <f t="array" aca="1" ref="D177" ca="1">IFERROR(INDIRECT("'"&amp;"PEF_"&amp;$C177&amp;"'!e$20"),0)+IFERROR(INDIRECT("'"&amp;"PEF_"&amp;$C177&amp;"'!e$44"),0)</f>
        <v>-9841.8151259999995</v>
      </c>
      <c r="E177" s="163">
        <f t="array" aca="1" ref="E177" ca="1">IFERROR(INDIRECT("'"&amp;"PEF_"&amp;$C177&amp;"'!h$20"),0)+IFERROR(INDIRECT("'"&amp;"PEF_"&amp;$C177&amp;"'!h$44"),0)</f>
        <v>-9841.8151259999995</v>
      </c>
      <c r="F177" s="163">
        <f t="array" aca="1" ref="F177" ca="1">IFERROR(INDIRECT("'"&amp;"PEF_"&amp;$C177&amp;"'!k$20"),0)+IFERROR(INDIRECT("'"&amp;"PEF_"&amp;$C177&amp;"'!k$44"),0)</f>
        <v>0</v>
      </c>
      <c r="G177" s="163">
        <f t="array" aca="1" ref="G177" ca="1">IFERROR(INDIRECT("'"&amp;"PEF_"&amp;$C177&amp;"'!m$20"),0)+IFERROR(INDIRECT("'"&amp;"PEF_"&amp;$C177&amp;"'!m$44"),0)</f>
        <v>0</v>
      </c>
      <c r="I177" s="164">
        <v>-9841.8151260000013</v>
      </c>
      <c r="J177" s="164">
        <v>-9841.8151260000013</v>
      </c>
      <c r="K177" s="164">
        <v>0</v>
      </c>
      <c r="L177" s="164">
        <v>0</v>
      </c>
      <c r="N177" s="164">
        <f t="shared" ca="1" si="16"/>
        <v>0</v>
      </c>
      <c r="O177" s="164">
        <f t="shared" ca="1" si="17"/>
        <v>0</v>
      </c>
      <c r="P177" s="164">
        <f t="shared" ca="1" si="18"/>
        <v>0</v>
      </c>
      <c r="Q177" s="164">
        <f t="shared" ca="1" si="19"/>
        <v>0</v>
      </c>
    </row>
    <row r="178" spans="2:17">
      <c r="B178" s="160" t="s">
        <v>118</v>
      </c>
      <c r="C178" s="161" t="s">
        <v>111</v>
      </c>
      <c r="D178" s="163">
        <f t="array" aca="1" ref="D178" ca="1">IFERROR(INDIRECT("'"&amp;"PEF_"&amp;$C178&amp;"'!e$20"),0)+IFERROR(INDIRECT("'"&amp;"PEF_"&amp;$C178&amp;"'!e$44"),0)</f>
        <v>0</v>
      </c>
      <c r="E178" s="163">
        <f t="array" aca="1" ref="E178" ca="1">IFERROR(INDIRECT("'"&amp;"PEF_"&amp;$C178&amp;"'!h$20"),0)+IFERROR(INDIRECT("'"&amp;"PEF_"&amp;$C178&amp;"'!h$44"),0)</f>
        <v>0</v>
      </c>
      <c r="F178" s="163">
        <f t="array" aca="1" ref="F178" ca="1">IFERROR(INDIRECT("'"&amp;"PEF_"&amp;$C178&amp;"'!k$20"),0)+IFERROR(INDIRECT("'"&amp;"PEF_"&amp;$C178&amp;"'!k$44"),0)</f>
        <v>0</v>
      </c>
      <c r="G178" s="163">
        <f t="array" aca="1" ref="G178" ca="1">IFERROR(INDIRECT("'"&amp;"PEF_"&amp;$C178&amp;"'!m$20"),0)+IFERROR(INDIRECT("'"&amp;"PEF_"&amp;$C178&amp;"'!m$44"),0)</f>
        <v>0</v>
      </c>
      <c r="I178" s="164">
        <v>0</v>
      </c>
      <c r="J178" s="164">
        <v>0</v>
      </c>
      <c r="K178" s="164">
        <v>0</v>
      </c>
      <c r="L178" s="164">
        <v>0</v>
      </c>
      <c r="N178" s="164">
        <f t="shared" ca="1" si="16"/>
        <v>0</v>
      </c>
      <c r="O178" s="164">
        <f t="shared" ca="1" si="17"/>
        <v>0</v>
      </c>
      <c r="P178" s="164">
        <f t="shared" ca="1" si="18"/>
        <v>0</v>
      </c>
      <c r="Q178" s="164">
        <f t="shared" ca="1" si="19"/>
        <v>0</v>
      </c>
    </row>
    <row r="179" spans="2:17">
      <c r="B179" s="160" t="s">
        <v>117</v>
      </c>
      <c r="C179" s="161" t="s">
        <v>112</v>
      </c>
      <c r="D179" s="163">
        <f t="array" aca="1" ref="D179" ca="1">IFERROR(INDIRECT("'"&amp;"PEF_"&amp;$C179&amp;"'!e$20"),0)+IFERROR(INDIRECT("'"&amp;"PEF_"&amp;$C179&amp;"'!e$44"),0)</f>
        <v>0</v>
      </c>
      <c r="E179" s="163">
        <f t="array" aca="1" ref="E179" ca="1">IFERROR(INDIRECT("'"&amp;"PEF_"&amp;$C179&amp;"'!h$20"),0)+IFERROR(INDIRECT("'"&amp;"PEF_"&amp;$C179&amp;"'!h$44"),0)</f>
        <v>0</v>
      </c>
      <c r="F179" s="163">
        <f t="array" aca="1" ref="F179" ca="1">IFERROR(INDIRECT("'"&amp;"PEF_"&amp;$C179&amp;"'!k$20"),0)+IFERROR(INDIRECT("'"&amp;"PEF_"&amp;$C179&amp;"'!k$44"),0)</f>
        <v>0</v>
      </c>
      <c r="G179" s="163">
        <f t="array" aca="1" ref="G179" ca="1">IFERROR(INDIRECT("'"&amp;"PEF_"&amp;$C179&amp;"'!m$20"),0)+IFERROR(INDIRECT("'"&amp;"PEF_"&amp;$C179&amp;"'!m$44"),0)</f>
        <v>127083</v>
      </c>
      <c r="I179" s="164">
        <v>0</v>
      </c>
      <c r="J179" s="164">
        <v>0</v>
      </c>
      <c r="K179" s="164">
        <v>0</v>
      </c>
      <c r="L179" s="164">
        <v>0</v>
      </c>
      <c r="N179" s="164">
        <f t="shared" ca="1" si="16"/>
        <v>0</v>
      </c>
      <c r="O179" s="164">
        <f t="shared" ca="1" si="17"/>
        <v>0</v>
      </c>
      <c r="P179" s="164">
        <f t="shared" ca="1" si="18"/>
        <v>0</v>
      </c>
      <c r="Q179" s="164">
        <f t="shared" ca="1" si="19"/>
        <v>127083</v>
      </c>
    </row>
    <row r="180" spans="2:17">
      <c r="B180" s="160" t="s">
        <v>118</v>
      </c>
      <c r="C180" s="161" t="s">
        <v>113</v>
      </c>
      <c r="D180" s="163">
        <f t="array" aca="1" ref="D180" ca="1">IFERROR(INDIRECT("'"&amp;"PEF_"&amp;$C180&amp;"'!e$20"),0)+IFERROR(INDIRECT("'"&amp;"PEF_"&amp;$C180&amp;"'!e$44"),0)</f>
        <v>2422.5918590194196</v>
      </c>
      <c r="E180" s="163">
        <f t="array" aca="1" ref="E180" ca="1">IFERROR(INDIRECT("'"&amp;"PEF_"&amp;$C180&amp;"'!h$20"),0)+IFERROR(INDIRECT("'"&amp;"PEF_"&amp;$C180&amp;"'!h$44"),0)</f>
        <v>0</v>
      </c>
      <c r="F180" s="163">
        <f t="array" aca="1" ref="F180" ca="1">IFERROR(INDIRECT("'"&amp;"PEF_"&amp;$C180&amp;"'!k$20"),0)+IFERROR(INDIRECT("'"&amp;"PEF_"&amp;$C180&amp;"'!k$44"),0)</f>
        <v>0</v>
      </c>
      <c r="G180" s="163">
        <f t="array" aca="1" ref="G180" ca="1">IFERROR(INDIRECT("'"&amp;"PEF_"&amp;$C180&amp;"'!m$20"),0)+IFERROR(INDIRECT("'"&amp;"PEF_"&amp;$C180&amp;"'!m$44"),0)</f>
        <v>0</v>
      </c>
      <c r="I180" s="164">
        <v>0</v>
      </c>
      <c r="J180" s="164">
        <v>0</v>
      </c>
      <c r="K180" s="164">
        <v>0</v>
      </c>
      <c r="L180" s="164">
        <v>0</v>
      </c>
      <c r="N180" s="164">
        <f t="shared" ca="1" si="16"/>
        <v>2422.5918590194196</v>
      </c>
      <c r="O180" s="164">
        <f t="shared" ca="1" si="17"/>
        <v>0</v>
      </c>
      <c r="P180" s="164">
        <f t="shared" ca="1" si="18"/>
        <v>0</v>
      </c>
      <c r="Q180" s="164">
        <f t="shared" ca="1" si="19"/>
        <v>0</v>
      </c>
    </row>
    <row r="181" spans="2:17">
      <c r="B181" s="160" t="s">
        <v>118</v>
      </c>
      <c r="C181" s="161" t="s">
        <v>114</v>
      </c>
      <c r="D181" s="163">
        <f t="array" aca="1" ref="D181" ca="1">IFERROR(INDIRECT("'"&amp;"PEF_"&amp;$C181&amp;"'!e$20"),0)+IFERROR(INDIRECT("'"&amp;"PEF_"&amp;$C181&amp;"'!e$44"),0)</f>
        <v>0</v>
      </c>
      <c r="E181" s="163">
        <f t="array" aca="1" ref="E181" ca="1">IFERROR(INDIRECT("'"&amp;"PEF_"&amp;$C181&amp;"'!h$20"),0)+IFERROR(INDIRECT("'"&amp;"PEF_"&amp;$C181&amp;"'!h$44"),0)</f>
        <v>0</v>
      </c>
      <c r="F181" s="163">
        <f t="array" aca="1" ref="F181" ca="1">IFERROR(INDIRECT("'"&amp;"PEF_"&amp;$C181&amp;"'!k$20"),0)+IFERROR(INDIRECT("'"&amp;"PEF_"&amp;$C181&amp;"'!k$44"),0)</f>
        <v>0</v>
      </c>
      <c r="G181" s="163">
        <f t="array" aca="1" ref="G181" ca="1">IFERROR(INDIRECT("'"&amp;"PEF_"&amp;$C181&amp;"'!m$20"),0)+IFERROR(INDIRECT("'"&amp;"PEF_"&amp;$C181&amp;"'!m$44"),0)</f>
        <v>0</v>
      </c>
      <c r="I181" s="164">
        <v>0</v>
      </c>
      <c r="J181" s="164">
        <v>0</v>
      </c>
      <c r="K181" s="164">
        <v>0</v>
      </c>
      <c r="L181" s="164">
        <v>0</v>
      </c>
      <c r="N181" s="164">
        <f t="shared" ca="1" si="16"/>
        <v>0</v>
      </c>
      <c r="O181" s="164">
        <f t="shared" ca="1" si="17"/>
        <v>0</v>
      </c>
      <c r="P181" s="164">
        <f t="shared" ca="1" si="18"/>
        <v>0</v>
      </c>
      <c r="Q181" s="164">
        <f t="shared" ca="1" si="19"/>
        <v>0</v>
      </c>
    </row>
    <row r="182" spans="2:17">
      <c r="B182" s="160" t="s">
        <v>117</v>
      </c>
      <c r="C182" s="161" t="s">
        <v>115</v>
      </c>
      <c r="D182" s="163">
        <f t="array" aca="1" ref="D182" ca="1">IFERROR(INDIRECT("'"&amp;"PEF_"&amp;$C182&amp;"'!e$20"),0)+IFERROR(INDIRECT("'"&amp;"PEF_"&amp;$C182&amp;"'!e$44"),0)</f>
        <v>0</v>
      </c>
      <c r="E182" s="163">
        <f t="array" aca="1" ref="E182" ca="1">IFERROR(INDIRECT("'"&amp;"PEF_"&amp;$C182&amp;"'!h$20"),0)+IFERROR(INDIRECT("'"&amp;"PEF_"&amp;$C182&amp;"'!h$44"),0)</f>
        <v>0</v>
      </c>
      <c r="F182" s="163">
        <f t="array" aca="1" ref="F182" ca="1">IFERROR(INDIRECT("'"&amp;"PEF_"&amp;$C182&amp;"'!k$20"),0)+IFERROR(INDIRECT("'"&amp;"PEF_"&amp;$C182&amp;"'!k$44"),0)</f>
        <v>0</v>
      </c>
      <c r="G182" s="163">
        <f t="array" aca="1" ref="G182" ca="1">IFERROR(INDIRECT("'"&amp;"PEF_"&amp;$C182&amp;"'!m$20"),0)+IFERROR(INDIRECT("'"&amp;"PEF_"&amp;$C182&amp;"'!m$44"),0)</f>
        <v>0</v>
      </c>
      <c r="I182" s="164">
        <v>0</v>
      </c>
      <c r="J182" s="164">
        <v>0</v>
      </c>
      <c r="K182" s="164">
        <v>0</v>
      </c>
      <c r="L182" s="164">
        <v>0</v>
      </c>
      <c r="N182" s="164">
        <f t="shared" ca="1" si="16"/>
        <v>0</v>
      </c>
      <c r="O182" s="164">
        <f t="shared" ca="1" si="17"/>
        <v>0</v>
      </c>
      <c r="P182" s="164">
        <f t="shared" ca="1" si="18"/>
        <v>0</v>
      </c>
      <c r="Q182" s="164">
        <f t="shared" ca="1" si="19"/>
        <v>0</v>
      </c>
    </row>
    <row r="185" spans="2:17">
      <c r="C185" s="162" t="s">
        <v>119</v>
      </c>
      <c r="D185" s="162">
        <v>2022</v>
      </c>
      <c r="E185" s="162">
        <v>2023</v>
      </c>
      <c r="F185" s="162">
        <v>2024</v>
      </c>
      <c r="G185" s="162">
        <v>2025</v>
      </c>
      <c r="N185" s="162">
        <v>2022</v>
      </c>
      <c r="O185" s="162">
        <v>2023</v>
      </c>
      <c r="P185" s="162">
        <v>2024</v>
      </c>
      <c r="Q185" s="162">
        <v>2025</v>
      </c>
    </row>
    <row r="186" spans="2:17">
      <c r="B186" s="160" t="s">
        <v>117</v>
      </c>
      <c r="C186" s="161" t="s">
        <v>82</v>
      </c>
      <c r="D186" s="163">
        <f t="array" aca="1" ref="D186" ca="1">IFERROR(INDIRECT("'"&amp;"PEF_"&amp;$C186&amp;"'!e$21"),0)+IFERROR(INDIRECT("'"&amp;"PEF_"&amp;$C186&amp;"'!e$45"),0)</f>
        <v>0</v>
      </c>
      <c r="E186" s="163">
        <f t="array" aca="1" ref="E186" ca="1">IFERROR(INDIRECT("'"&amp;"PEF_"&amp;$C186&amp;"'!h$21"),0)+IFERROR(INDIRECT("'"&amp;"PEF_"&amp;$C186&amp;"'!h$45"),0)</f>
        <v>0</v>
      </c>
      <c r="F186" s="163">
        <f t="array" aca="1" ref="F186" ca="1">IFERROR(INDIRECT("'"&amp;"PEF_"&amp;$C186&amp;"'!k$21"),0)+IFERROR(INDIRECT("'"&amp;"PEF_"&amp;$C186&amp;"'!k$45"),0)</f>
        <v>0</v>
      </c>
      <c r="G186" s="163">
        <f t="array" aca="1" ref="G186" ca="1">IFERROR(INDIRECT("'"&amp;"PEF_"&amp;$C186&amp;"'!m$21"),0)+IFERROR(INDIRECT("'"&amp;"PEF_"&amp;$C186&amp;"'!m$45"),0)</f>
        <v>0</v>
      </c>
      <c r="I186" s="164">
        <v>0</v>
      </c>
      <c r="J186" s="164">
        <v>0</v>
      </c>
      <c r="K186" s="164">
        <v>0</v>
      </c>
      <c r="L186" s="164">
        <v>0</v>
      </c>
      <c r="N186" s="164">
        <f t="shared" ref="N186:N219" ca="1" si="20">D186-I186</f>
        <v>0</v>
      </c>
      <c r="O186" s="164">
        <f t="shared" ref="O186:O219" ca="1" si="21">E186-J186</f>
        <v>0</v>
      </c>
      <c r="P186" s="164">
        <f t="shared" ref="P186:P219" ca="1" si="22">F186-K186</f>
        <v>0</v>
      </c>
      <c r="Q186" s="164">
        <f t="shared" ref="Q186:Q219" ca="1" si="23">G186-L186</f>
        <v>0</v>
      </c>
    </row>
    <row r="187" spans="2:17">
      <c r="B187" s="160" t="s">
        <v>117</v>
      </c>
      <c r="C187" s="161" t="s">
        <v>83</v>
      </c>
      <c r="D187" s="163">
        <f t="array" aca="1" ref="D187" ca="1">IFERROR(INDIRECT("'"&amp;"PEF_"&amp;$C187&amp;"'!e$21"),0)+IFERROR(INDIRECT("'"&amp;"PEF_"&amp;$C187&amp;"'!e$45"),0)</f>
        <v>0</v>
      </c>
      <c r="E187" s="163">
        <f t="array" aca="1" ref="E187" ca="1">IFERROR(INDIRECT("'"&amp;"PEF_"&amp;$C187&amp;"'!h$21"),0)+IFERROR(INDIRECT("'"&amp;"PEF_"&amp;$C187&amp;"'!h$45"),0)</f>
        <v>0</v>
      </c>
      <c r="F187" s="163">
        <f t="array" aca="1" ref="F187" ca="1">IFERROR(INDIRECT("'"&amp;"PEF_"&amp;$C187&amp;"'!k$21"),0)+IFERROR(INDIRECT("'"&amp;"PEF_"&amp;$C187&amp;"'!k$45"),0)</f>
        <v>0</v>
      </c>
      <c r="G187" s="163">
        <f t="array" aca="1" ref="G187" ca="1">IFERROR(INDIRECT("'"&amp;"PEF_"&amp;$C187&amp;"'!m$21"),0)+IFERROR(INDIRECT("'"&amp;"PEF_"&amp;$C187&amp;"'!m$45"),0)</f>
        <v>0</v>
      </c>
      <c r="I187" s="164">
        <v>0</v>
      </c>
      <c r="J187" s="164">
        <v>0</v>
      </c>
      <c r="K187" s="164">
        <v>0</v>
      </c>
      <c r="L187" s="164">
        <v>0</v>
      </c>
      <c r="N187" s="164">
        <f t="shared" ca="1" si="20"/>
        <v>0</v>
      </c>
      <c r="O187" s="164">
        <f t="shared" ca="1" si="21"/>
        <v>0</v>
      </c>
      <c r="P187" s="164">
        <f t="shared" ca="1" si="22"/>
        <v>0</v>
      </c>
      <c r="Q187" s="164">
        <f t="shared" ca="1" si="23"/>
        <v>0</v>
      </c>
    </row>
    <row r="188" spans="2:17">
      <c r="B188" s="160" t="s">
        <v>117</v>
      </c>
      <c r="C188" s="161" t="s">
        <v>84</v>
      </c>
      <c r="D188" s="163">
        <f t="array" aca="1" ref="D188" ca="1">IFERROR(INDIRECT("'"&amp;"PEF_"&amp;$C188&amp;"'!e$21"),0)+IFERROR(INDIRECT("'"&amp;"PEF_"&amp;$C188&amp;"'!e$45"),0)</f>
        <v>0</v>
      </c>
      <c r="E188" s="163">
        <f t="array" aca="1" ref="E188" ca="1">IFERROR(INDIRECT("'"&amp;"PEF_"&amp;$C188&amp;"'!h$21"),0)+IFERROR(INDIRECT("'"&amp;"PEF_"&amp;$C188&amp;"'!h$45"),0)</f>
        <v>0</v>
      </c>
      <c r="F188" s="163">
        <f t="array" aca="1" ref="F188" ca="1">IFERROR(INDIRECT("'"&amp;"PEF_"&amp;$C188&amp;"'!k$21"),0)+IFERROR(INDIRECT("'"&amp;"PEF_"&amp;$C188&amp;"'!k$45"),0)</f>
        <v>0</v>
      </c>
      <c r="G188" s="163">
        <f t="array" aca="1" ref="G188" ca="1">IFERROR(INDIRECT("'"&amp;"PEF_"&amp;$C188&amp;"'!m$21"),0)+IFERROR(INDIRECT("'"&amp;"PEF_"&amp;$C188&amp;"'!m$45"),0)</f>
        <v>0</v>
      </c>
      <c r="I188" s="164">
        <v>0</v>
      </c>
      <c r="J188" s="164">
        <v>0</v>
      </c>
      <c r="K188" s="164">
        <v>0</v>
      </c>
      <c r="L188" s="164">
        <v>0</v>
      </c>
      <c r="N188" s="164">
        <f t="shared" ca="1" si="20"/>
        <v>0</v>
      </c>
      <c r="O188" s="164">
        <f t="shared" ca="1" si="21"/>
        <v>0</v>
      </c>
      <c r="P188" s="164">
        <f t="shared" ca="1" si="22"/>
        <v>0</v>
      </c>
      <c r="Q188" s="164">
        <f t="shared" ca="1" si="23"/>
        <v>0</v>
      </c>
    </row>
    <row r="189" spans="2:17">
      <c r="B189" s="160" t="s">
        <v>118</v>
      </c>
      <c r="C189" s="161" t="s">
        <v>85</v>
      </c>
      <c r="D189" s="163">
        <f t="array" aca="1" ref="D189" ca="1">IFERROR(INDIRECT("'"&amp;"PEF_"&amp;$C189&amp;"'!e$21"),0)+IFERROR(INDIRECT("'"&amp;"PEF_"&amp;$C189&amp;"'!e$45"),0)</f>
        <v>493068.12397526612</v>
      </c>
      <c r="E189" s="163">
        <f t="array" aca="1" ref="E189" ca="1">IFERROR(INDIRECT("'"&amp;"PEF_"&amp;$C189&amp;"'!h$21"),0)+IFERROR(INDIRECT("'"&amp;"PEF_"&amp;$C189&amp;"'!h$45"),0)</f>
        <v>518208.35506123654</v>
      </c>
      <c r="F189" s="163">
        <f t="array" aca="1" ref="F189" ca="1">IFERROR(INDIRECT("'"&amp;"PEF_"&amp;$C189&amp;"'!k$21"),0)+IFERROR(INDIRECT("'"&amp;"PEF_"&amp;$C189&amp;"'!k$45"),0)</f>
        <v>544371.27422152588</v>
      </c>
      <c r="G189" s="163">
        <f t="array" aca="1" ref="G189" ca="1">IFERROR(INDIRECT("'"&amp;"PEF_"&amp;$C189&amp;"'!m$21"),0)+IFERROR(INDIRECT("'"&amp;"PEF_"&amp;$C189&amp;"'!m$45"),0)</f>
        <v>0</v>
      </c>
      <c r="I189" s="164">
        <v>493068.12397526606</v>
      </c>
      <c r="J189" s="164">
        <v>518208.35506123642</v>
      </c>
      <c r="K189" s="164">
        <v>544371.27422152576</v>
      </c>
      <c r="L189" s="164">
        <v>559345.27975923836</v>
      </c>
      <c r="N189" s="164">
        <f t="shared" ca="1" si="20"/>
        <v>0</v>
      </c>
      <c r="O189" s="164">
        <f t="shared" ca="1" si="21"/>
        <v>0</v>
      </c>
      <c r="P189" s="164">
        <f t="shared" ca="1" si="22"/>
        <v>0</v>
      </c>
      <c r="Q189" s="164">
        <f t="shared" ca="1" si="23"/>
        <v>-559345.27975923836</v>
      </c>
    </row>
    <row r="190" spans="2:17">
      <c r="B190" s="160" t="s">
        <v>118</v>
      </c>
      <c r="C190" s="161" t="s">
        <v>86</v>
      </c>
      <c r="D190" s="163">
        <f t="array" aca="1" ref="D190" ca="1">IFERROR(INDIRECT("'"&amp;"PEF_"&amp;$C190&amp;"'!e$21"),0)+IFERROR(INDIRECT("'"&amp;"PEF_"&amp;$C190&amp;"'!e$45"),0)</f>
        <v>167143.09325867816</v>
      </c>
      <c r="E190" s="163">
        <f t="array" aca="1" ref="E190" ca="1">IFERROR(INDIRECT("'"&amp;"PEF_"&amp;$C190&amp;"'!h$21"),0)+IFERROR(INDIRECT("'"&amp;"PEF_"&amp;$C190&amp;"'!h$45"),0)</f>
        <v>178114.96576467846</v>
      </c>
      <c r="F190" s="163">
        <f t="array" aca="1" ref="F190" ca="1">IFERROR(INDIRECT("'"&amp;"PEF_"&amp;$C190&amp;"'!k$21"),0)+IFERROR(INDIRECT("'"&amp;"PEF_"&amp;$C190&amp;"'!k$45"),0)</f>
        <v>190606.22287851293</v>
      </c>
      <c r="G190" s="163">
        <f t="array" aca="1" ref="G190" ca="1">IFERROR(INDIRECT("'"&amp;"PEF_"&amp;$C190&amp;"'!m$21"),0)+IFERROR(INDIRECT("'"&amp;"PEF_"&amp;$C190&amp;"'!m$45"),0)</f>
        <v>0</v>
      </c>
      <c r="I190" s="164">
        <v>167143.09325867816</v>
      </c>
      <c r="J190" s="164">
        <v>178114.96576467846</v>
      </c>
      <c r="K190" s="164">
        <v>190606.22287851293</v>
      </c>
      <c r="L190" s="164">
        <v>203131.89395907003</v>
      </c>
      <c r="N190" s="164">
        <f t="shared" ca="1" si="20"/>
        <v>0</v>
      </c>
      <c r="O190" s="164">
        <f t="shared" ca="1" si="21"/>
        <v>0</v>
      </c>
      <c r="P190" s="164">
        <f t="shared" ca="1" si="22"/>
        <v>0</v>
      </c>
      <c r="Q190" s="164">
        <f t="shared" ca="1" si="23"/>
        <v>-203131.89395907003</v>
      </c>
    </row>
    <row r="191" spans="2:17">
      <c r="B191" s="160" t="s">
        <v>118</v>
      </c>
      <c r="C191" s="161" t="s">
        <v>87</v>
      </c>
      <c r="D191" s="163">
        <f t="array" aca="1" ref="D191" ca="1">IFERROR(INDIRECT("'"&amp;"PEF_"&amp;$C191&amp;"'!e$21"),0)+IFERROR(INDIRECT("'"&amp;"PEF_"&amp;$C191&amp;"'!e$45"),0)</f>
        <v>57192.830333987091</v>
      </c>
      <c r="E191" s="163">
        <f t="array" aca="1" ref="E191" ca="1">IFERROR(INDIRECT("'"&amp;"PEF_"&amp;$C191&amp;"'!h$21"),0)+IFERROR(INDIRECT("'"&amp;"PEF_"&amp;$C191&amp;"'!h$45"),0)</f>
        <v>58911.917618675543</v>
      </c>
      <c r="F191" s="163">
        <f t="array" aca="1" ref="F191" ca="1">IFERROR(INDIRECT("'"&amp;"PEF_"&amp;$C191&amp;"'!k$21"),0)+IFERROR(INDIRECT("'"&amp;"PEF_"&amp;$C191&amp;"'!k$45"),0)</f>
        <v>60104.935572594477</v>
      </c>
      <c r="G191" s="163">
        <f t="array" aca="1" ref="G191" ca="1">IFERROR(INDIRECT("'"&amp;"PEF_"&amp;$C191&amp;"'!m$21"),0)+IFERROR(INDIRECT("'"&amp;"PEF_"&amp;$C191&amp;"'!m$45"),0)</f>
        <v>0</v>
      </c>
      <c r="I191" s="164">
        <v>57192.830333987105</v>
      </c>
      <c r="J191" s="164">
        <v>58911.917618675521</v>
      </c>
      <c r="K191" s="164">
        <v>60104.935572594462</v>
      </c>
      <c r="L191" s="164">
        <v>60823.59917553774</v>
      </c>
      <c r="N191" s="164">
        <f t="shared" ca="1" si="20"/>
        <v>0</v>
      </c>
      <c r="O191" s="164">
        <f t="shared" ca="1" si="21"/>
        <v>0</v>
      </c>
      <c r="P191" s="164">
        <f t="shared" ca="1" si="22"/>
        <v>0</v>
      </c>
      <c r="Q191" s="164">
        <f t="shared" ca="1" si="23"/>
        <v>-60823.59917553774</v>
      </c>
    </row>
    <row r="192" spans="2:17">
      <c r="B192" s="160" t="s">
        <v>118</v>
      </c>
      <c r="C192" s="161" t="s">
        <v>88</v>
      </c>
      <c r="D192" s="163">
        <f t="array" aca="1" ref="D192" ca="1">IFERROR(INDIRECT("'"&amp;"PEF_"&amp;$C192&amp;"'!e$21"),0)+IFERROR(INDIRECT("'"&amp;"PEF_"&amp;$C192&amp;"'!e$45"),0)</f>
        <v>1241381.7947113044</v>
      </c>
      <c r="E192" s="163">
        <f t="array" aca="1" ref="E192" ca="1">IFERROR(INDIRECT("'"&amp;"PEF_"&amp;$C192&amp;"'!h$21"),0)+IFERROR(INDIRECT("'"&amp;"PEF_"&amp;$C192&amp;"'!h$45"),0)</f>
        <v>1300966.2863609768</v>
      </c>
      <c r="F192" s="163">
        <f t="array" aca="1" ref="F192" ca="1">IFERROR(INDIRECT("'"&amp;"PEF_"&amp;$C192&amp;"'!k$21"),0)+IFERROR(INDIRECT("'"&amp;"PEF_"&amp;$C192&amp;"'!k$45"),0)</f>
        <v>1326676.4149402645</v>
      </c>
      <c r="G192" s="163">
        <f t="array" aca="1" ref="G192" ca="1">IFERROR(INDIRECT("'"&amp;"PEF_"&amp;$C192&amp;"'!m$21"),0)+IFERROR(INDIRECT("'"&amp;"PEF_"&amp;$C192&amp;"'!m$45"),0)</f>
        <v>0</v>
      </c>
      <c r="I192" s="164">
        <v>1241553.8296892077</v>
      </c>
      <c r="J192" s="164">
        <v>1301138.1494757654</v>
      </c>
      <c r="K192" s="164">
        <v>1326848.2780550527</v>
      </c>
      <c r="L192" s="164">
        <v>1336513.3319120852</v>
      </c>
      <c r="N192" s="164">
        <f t="shared" ca="1" si="20"/>
        <v>-172.03497790335678</v>
      </c>
      <c r="O192" s="164">
        <f t="shared" ca="1" si="21"/>
        <v>-171.86311478866264</v>
      </c>
      <c r="P192" s="164">
        <f t="shared" ca="1" si="22"/>
        <v>-171.86311478819698</v>
      </c>
      <c r="Q192" s="164">
        <f t="shared" ca="1" si="23"/>
        <v>-1336513.3319120852</v>
      </c>
    </row>
    <row r="193" spans="2:17">
      <c r="B193" s="160" t="s">
        <v>118</v>
      </c>
      <c r="C193" s="161" t="s">
        <v>89</v>
      </c>
      <c r="D193" s="163">
        <f t="array" aca="1" ref="D193" ca="1">IFERROR(INDIRECT("'"&amp;"PEF_"&amp;$C193&amp;"'!e$21"),0)+IFERROR(INDIRECT("'"&amp;"PEF_"&amp;$C193&amp;"'!e$45"),0)</f>
        <v>41963.566517250481</v>
      </c>
      <c r="E193" s="163">
        <f t="array" aca="1" ref="E193" ca="1">IFERROR(INDIRECT("'"&amp;"PEF_"&amp;$C193&amp;"'!h$21"),0)+IFERROR(INDIRECT("'"&amp;"PEF_"&amp;$C193&amp;"'!h$45"),0)</f>
        <v>43948.444661184229</v>
      </c>
      <c r="F193" s="163">
        <f t="array" aca="1" ref="F193" ca="1">IFERROR(INDIRECT("'"&amp;"PEF_"&amp;$C193&amp;"'!k$21"),0)+IFERROR(INDIRECT("'"&amp;"PEF_"&amp;$C193&amp;"'!k$45"),0)</f>
        <v>46649.703049172458</v>
      </c>
      <c r="G193" s="163">
        <f t="array" aca="1" ref="G193" ca="1">IFERROR(INDIRECT("'"&amp;"PEF_"&amp;$C193&amp;"'!m$21"),0)+IFERROR(INDIRECT("'"&amp;"PEF_"&amp;$C193&amp;"'!m$45"),0)</f>
        <v>0</v>
      </c>
      <c r="I193" s="164">
        <v>41963.566517250474</v>
      </c>
      <c r="J193" s="164">
        <v>43948.444661184229</v>
      </c>
      <c r="K193" s="164">
        <v>46649.703049172465</v>
      </c>
      <c r="L193" s="164">
        <v>48433.572196052788</v>
      </c>
      <c r="N193" s="164">
        <f t="shared" ca="1" si="20"/>
        <v>0</v>
      </c>
      <c r="O193" s="164">
        <f t="shared" ca="1" si="21"/>
        <v>0</v>
      </c>
      <c r="P193" s="164">
        <f t="shared" ca="1" si="22"/>
        <v>0</v>
      </c>
      <c r="Q193" s="164">
        <f t="shared" ca="1" si="23"/>
        <v>-48433.572196052788</v>
      </c>
    </row>
    <row r="194" spans="2:17">
      <c r="B194" s="160" t="s">
        <v>117</v>
      </c>
      <c r="C194" s="161" t="s">
        <v>90</v>
      </c>
      <c r="D194" s="163">
        <f t="array" aca="1" ref="D194" ca="1">IFERROR(INDIRECT("'"&amp;"PEF_"&amp;$C194&amp;"'!e$21"),0)+IFERROR(INDIRECT("'"&amp;"PEF_"&amp;$C194&amp;"'!e$45"),0)</f>
        <v>0</v>
      </c>
      <c r="E194" s="163">
        <f t="array" aca="1" ref="E194" ca="1">IFERROR(INDIRECT("'"&amp;"PEF_"&amp;$C194&amp;"'!h$21"),0)+IFERROR(INDIRECT("'"&amp;"PEF_"&amp;$C194&amp;"'!h$45"),0)</f>
        <v>0</v>
      </c>
      <c r="F194" s="163">
        <f t="array" aca="1" ref="F194" ca="1">IFERROR(INDIRECT("'"&amp;"PEF_"&amp;$C194&amp;"'!k$21"),0)+IFERROR(INDIRECT("'"&amp;"PEF_"&amp;$C194&amp;"'!k$45"),0)</f>
        <v>0</v>
      </c>
      <c r="G194" s="163">
        <f t="array" aca="1" ref="G194" ca="1">IFERROR(INDIRECT("'"&amp;"PEF_"&amp;$C194&amp;"'!m$21"),0)+IFERROR(INDIRECT("'"&amp;"PEF_"&amp;$C194&amp;"'!m$45"),0)</f>
        <v>0</v>
      </c>
      <c r="I194" s="164">
        <v>0</v>
      </c>
      <c r="J194" s="164">
        <v>0</v>
      </c>
      <c r="K194" s="164">
        <v>0</v>
      </c>
      <c r="L194" s="164">
        <v>0</v>
      </c>
      <c r="N194" s="164">
        <f t="shared" ca="1" si="20"/>
        <v>0</v>
      </c>
      <c r="O194" s="164">
        <f t="shared" ca="1" si="21"/>
        <v>0</v>
      </c>
      <c r="P194" s="164">
        <f t="shared" ca="1" si="22"/>
        <v>0</v>
      </c>
      <c r="Q194" s="164">
        <f t="shared" ca="1" si="23"/>
        <v>0</v>
      </c>
    </row>
    <row r="195" spans="2:17">
      <c r="B195" s="160" t="s">
        <v>118</v>
      </c>
      <c r="C195" s="161" t="s">
        <v>91</v>
      </c>
      <c r="D195" s="163">
        <f t="array" aca="1" ref="D195" ca="1">IFERROR(INDIRECT("'"&amp;"PEF_"&amp;$C195&amp;"'!e$21"),0)+IFERROR(INDIRECT("'"&amp;"PEF_"&amp;$C195&amp;"'!e$45"),0)</f>
        <v>240696.76741402026</v>
      </c>
      <c r="E195" s="163">
        <f t="array" aca="1" ref="E195" ca="1">IFERROR(INDIRECT("'"&amp;"PEF_"&amp;$C195&amp;"'!h$21"),0)+IFERROR(INDIRECT("'"&amp;"PEF_"&amp;$C195&amp;"'!h$45"),0)</f>
        <v>248085.64345268151</v>
      </c>
      <c r="F195" s="163">
        <f t="array" aca="1" ref="F195" ca="1">IFERROR(INDIRECT("'"&amp;"PEF_"&amp;$C195&amp;"'!k$21"),0)+IFERROR(INDIRECT("'"&amp;"PEF_"&amp;$C195&amp;"'!k$45"),0)</f>
        <v>245262.82969092557</v>
      </c>
      <c r="G195" s="163">
        <f t="array" aca="1" ref="G195" ca="1">IFERROR(INDIRECT("'"&amp;"PEF_"&amp;$C195&amp;"'!m$21"),0)+IFERROR(INDIRECT("'"&amp;"PEF_"&amp;$C195&amp;"'!m$45"),0)</f>
        <v>0</v>
      </c>
      <c r="I195" s="164">
        <v>240696.76741402029</v>
      </c>
      <c r="J195" s="164">
        <v>248085.64345268151</v>
      </c>
      <c r="K195" s="164">
        <v>245262.82969092554</v>
      </c>
      <c r="L195" s="164">
        <v>247054.632165427</v>
      </c>
      <c r="N195" s="164">
        <f t="shared" ca="1" si="20"/>
        <v>0</v>
      </c>
      <c r="O195" s="164">
        <f t="shared" ca="1" si="21"/>
        <v>0</v>
      </c>
      <c r="P195" s="164">
        <f t="shared" ca="1" si="22"/>
        <v>0</v>
      </c>
      <c r="Q195" s="164">
        <f t="shared" ca="1" si="23"/>
        <v>-247054.632165427</v>
      </c>
    </row>
    <row r="196" spans="2:17">
      <c r="B196" s="160" t="s">
        <v>117</v>
      </c>
      <c r="C196" s="161" t="s">
        <v>92</v>
      </c>
      <c r="D196" s="163">
        <f t="array" aca="1" ref="D196" ca="1">IFERROR(INDIRECT("'"&amp;"PEF_"&amp;$C196&amp;"'!e$21"),0)+IFERROR(INDIRECT("'"&amp;"PEF_"&amp;$C196&amp;"'!e$45"),0)</f>
        <v>0</v>
      </c>
      <c r="E196" s="163">
        <f t="array" aca="1" ref="E196" ca="1">IFERROR(INDIRECT("'"&amp;"PEF_"&amp;$C196&amp;"'!h$21"),0)+IFERROR(INDIRECT("'"&amp;"PEF_"&amp;$C196&amp;"'!h$45"),0)</f>
        <v>0</v>
      </c>
      <c r="F196" s="163">
        <f t="array" aca="1" ref="F196" ca="1">IFERROR(INDIRECT("'"&amp;"PEF_"&amp;$C196&amp;"'!k$21"),0)+IFERROR(INDIRECT("'"&amp;"PEF_"&amp;$C196&amp;"'!k$45"),0)</f>
        <v>0</v>
      </c>
      <c r="G196" s="163">
        <f t="array" aca="1" ref="G196" ca="1">IFERROR(INDIRECT("'"&amp;"PEF_"&amp;$C196&amp;"'!m$21"),0)+IFERROR(INDIRECT("'"&amp;"PEF_"&amp;$C196&amp;"'!m$45"),0)</f>
        <v>0</v>
      </c>
      <c r="I196" s="164">
        <v>0</v>
      </c>
      <c r="J196" s="164">
        <v>0</v>
      </c>
      <c r="K196" s="164">
        <v>0</v>
      </c>
      <c r="L196" s="164">
        <v>0</v>
      </c>
      <c r="N196" s="164">
        <f t="shared" ca="1" si="20"/>
        <v>0</v>
      </c>
      <c r="O196" s="164">
        <f t="shared" ca="1" si="21"/>
        <v>0</v>
      </c>
      <c r="P196" s="164">
        <f t="shared" ca="1" si="22"/>
        <v>0</v>
      </c>
      <c r="Q196" s="164">
        <f t="shared" ca="1" si="23"/>
        <v>0</v>
      </c>
    </row>
    <row r="197" spans="2:17">
      <c r="B197" s="160" t="s">
        <v>117</v>
      </c>
      <c r="C197" s="161" t="s">
        <v>93</v>
      </c>
      <c r="D197" s="163">
        <f t="array" aca="1" ref="D197" ca="1">IFERROR(INDIRECT("'"&amp;"PEF_"&amp;$C197&amp;"'!e$21"),0)+IFERROR(INDIRECT("'"&amp;"PEF_"&amp;$C197&amp;"'!e$45"),0)</f>
        <v>0</v>
      </c>
      <c r="E197" s="163">
        <f t="array" aca="1" ref="E197" ca="1">IFERROR(INDIRECT("'"&amp;"PEF_"&amp;$C197&amp;"'!h$21"),0)+IFERROR(INDIRECT("'"&amp;"PEF_"&amp;$C197&amp;"'!h$45"),0)</f>
        <v>0</v>
      </c>
      <c r="F197" s="163">
        <f t="array" aca="1" ref="F197" ca="1">IFERROR(INDIRECT("'"&amp;"PEF_"&amp;$C197&amp;"'!k$21"),0)+IFERROR(INDIRECT("'"&amp;"PEF_"&amp;$C197&amp;"'!k$45"),0)</f>
        <v>0</v>
      </c>
      <c r="G197" s="163">
        <f t="array" aca="1" ref="G197" ca="1">IFERROR(INDIRECT("'"&amp;"PEF_"&amp;$C197&amp;"'!m$21"),0)+IFERROR(INDIRECT("'"&amp;"PEF_"&amp;$C197&amp;"'!m$45"),0)</f>
        <v>0</v>
      </c>
      <c r="I197" s="164">
        <v>0</v>
      </c>
      <c r="J197" s="164">
        <v>0</v>
      </c>
      <c r="K197" s="164">
        <v>0</v>
      </c>
      <c r="L197" s="164">
        <v>0</v>
      </c>
      <c r="N197" s="164">
        <f t="shared" ca="1" si="20"/>
        <v>0</v>
      </c>
      <c r="O197" s="164">
        <f t="shared" ca="1" si="21"/>
        <v>0</v>
      </c>
      <c r="P197" s="164">
        <f t="shared" ca="1" si="22"/>
        <v>0</v>
      </c>
      <c r="Q197" s="164">
        <f t="shared" ca="1" si="23"/>
        <v>0</v>
      </c>
    </row>
    <row r="198" spans="2:17">
      <c r="B198" s="160" t="s">
        <v>117</v>
      </c>
      <c r="C198" s="161" t="s">
        <v>94</v>
      </c>
      <c r="D198" s="163">
        <f t="array" aca="1" ref="D198" ca="1">IFERROR(INDIRECT("'"&amp;"PEF_"&amp;$C198&amp;"'!e$21"),0)+IFERROR(INDIRECT("'"&amp;"PEF_"&amp;$C198&amp;"'!e$45"),0)</f>
        <v>0</v>
      </c>
      <c r="E198" s="163">
        <f t="array" aca="1" ref="E198" ca="1">IFERROR(INDIRECT("'"&amp;"PEF_"&amp;$C198&amp;"'!h$21"),0)+IFERROR(INDIRECT("'"&amp;"PEF_"&amp;$C198&amp;"'!h$45"),0)</f>
        <v>0</v>
      </c>
      <c r="F198" s="163">
        <f t="array" aca="1" ref="F198" ca="1">IFERROR(INDIRECT("'"&amp;"PEF_"&amp;$C198&amp;"'!k$21"),0)+IFERROR(INDIRECT("'"&amp;"PEF_"&amp;$C198&amp;"'!k$45"),0)</f>
        <v>0</v>
      </c>
      <c r="G198" s="163">
        <f t="array" aca="1" ref="G198" ca="1">IFERROR(INDIRECT("'"&amp;"PEF_"&amp;$C198&amp;"'!m$21"),0)+IFERROR(INDIRECT("'"&amp;"PEF_"&amp;$C198&amp;"'!m$45"),0)</f>
        <v>0</v>
      </c>
      <c r="I198" s="164">
        <v>0</v>
      </c>
      <c r="J198" s="164">
        <v>0</v>
      </c>
      <c r="K198" s="164">
        <v>0</v>
      </c>
      <c r="L198" s="164">
        <v>0</v>
      </c>
      <c r="N198" s="164">
        <f t="shared" ca="1" si="20"/>
        <v>0</v>
      </c>
      <c r="O198" s="164">
        <f t="shared" ca="1" si="21"/>
        <v>0</v>
      </c>
      <c r="P198" s="164">
        <f t="shared" ca="1" si="22"/>
        <v>0</v>
      </c>
      <c r="Q198" s="164">
        <f t="shared" ca="1" si="23"/>
        <v>0</v>
      </c>
    </row>
    <row r="199" spans="2:17">
      <c r="B199" s="160" t="s">
        <v>118</v>
      </c>
      <c r="C199" s="161" t="s">
        <v>95</v>
      </c>
      <c r="D199" s="163">
        <f t="array" aca="1" ref="D199" ca="1">IFERROR(INDIRECT("'"&amp;"PEF_"&amp;$C199&amp;"'!e$21"),0)+IFERROR(INDIRECT("'"&amp;"PEF_"&amp;$C199&amp;"'!e$45"),0)</f>
        <v>1045485.5712028786</v>
      </c>
      <c r="E199" s="163">
        <f t="array" aca="1" ref="E199" ca="1">IFERROR(INDIRECT("'"&amp;"PEF_"&amp;$C199&amp;"'!h$21"),0)+IFERROR(INDIRECT("'"&amp;"PEF_"&amp;$C199&amp;"'!h$45"),0)</f>
        <v>1092668.9084555963</v>
      </c>
      <c r="F199" s="163">
        <f t="array" aca="1" ref="F199" ca="1">IFERROR(INDIRECT("'"&amp;"PEF_"&amp;$C199&amp;"'!k$21"),0)+IFERROR(INDIRECT("'"&amp;"PEF_"&amp;$C199&amp;"'!k$45"),0)</f>
        <v>1124698.3728519692</v>
      </c>
      <c r="G199" s="163">
        <f t="array" aca="1" ref="G199" ca="1">IFERROR(INDIRECT("'"&amp;"PEF_"&amp;$C199&amp;"'!m$21"),0)+IFERROR(INDIRECT("'"&amp;"PEF_"&amp;$C199&amp;"'!m$45"),0)</f>
        <v>0</v>
      </c>
      <c r="I199" s="164">
        <v>1045485.5712028787</v>
      </c>
      <c r="J199" s="164">
        <v>1092668.9084555961</v>
      </c>
      <c r="K199" s="164">
        <v>1124698.372851969</v>
      </c>
      <c r="L199" s="164">
        <v>1140257.8992434493</v>
      </c>
      <c r="N199" s="164">
        <f t="shared" ca="1" si="20"/>
        <v>0</v>
      </c>
      <c r="O199" s="164">
        <f t="shared" ca="1" si="21"/>
        <v>0</v>
      </c>
      <c r="P199" s="164">
        <f t="shared" ca="1" si="22"/>
        <v>0</v>
      </c>
      <c r="Q199" s="164">
        <f t="shared" ca="1" si="23"/>
        <v>-1140257.8992434493</v>
      </c>
    </row>
    <row r="200" spans="2:17">
      <c r="B200" s="160" t="s">
        <v>117</v>
      </c>
      <c r="C200" s="161" t="s">
        <v>96</v>
      </c>
      <c r="D200" s="163">
        <f t="array" aca="1" ref="D200" ca="1">IFERROR(INDIRECT("'"&amp;"PEF_"&amp;$C200&amp;"'!e$21"),0)+IFERROR(INDIRECT("'"&amp;"PEF_"&amp;$C200&amp;"'!e$45"),0)</f>
        <v>0</v>
      </c>
      <c r="E200" s="163">
        <f t="array" aca="1" ref="E200" ca="1">IFERROR(INDIRECT("'"&amp;"PEF_"&amp;$C200&amp;"'!h$21"),0)+IFERROR(INDIRECT("'"&amp;"PEF_"&amp;$C200&amp;"'!h$45"),0)</f>
        <v>0</v>
      </c>
      <c r="F200" s="163">
        <f t="array" aca="1" ref="F200" ca="1">IFERROR(INDIRECT("'"&amp;"PEF_"&amp;$C200&amp;"'!k$21"),0)+IFERROR(INDIRECT("'"&amp;"PEF_"&amp;$C200&amp;"'!k$45"),0)</f>
        <v>0</v>
      </c>
      <c r="G200" s="163">
        <f t="array" aca="1" ref="G200" ca="1">IFERROR(INDIRECT("'"&amp;"PEF_"&amp;$C200&amp;"'!m$21"),0)+IFERROR(INDIRECT("'"&amp;"PEF_"&amp;$C200&amp;"'!m$45"),0)</f>
        <v>0</v>
      </c>
      <c r="I200" s="164">
        <v>0</v>
      </c>
      <c r="J200" s="164">
        <v>0</v>
      </c>
      <c r="K200" s="164">
        <v>0</v>
      </c>
      <c r="L200" s="164">
        <v>0</v>
      </c>
      <c r="N200" s="164">
        <f t="shared" ca="1" si="20"/>
        <v>0</v>
      </c>
      <c r="O200" s="164">
        <f t="shared" ca="1" si="21"/>
        <v>0</v>
      </c>
      <c r="P200" s="164">
        <f t="shared" ca="1" si="22"/>
        <v>0</v>
      </c>
      <c r="Q200" s="164">
        <f t="shared" ca="1" si="23"/>
        <v>0</v>
      </c>
    </row>
    <row r="201" spans="2:17">
      <c r="B201" s="160" t="s">
        <v>118</v>
      </c>
      <c r="C201" s="161" t="s">
        <v>97</v>
      </c>
      <c r="D201" s="163">
        <f t="array" aca="1" ref="D201" ca="1">IFERROR(INDIRECT("'"&amp;"PEF_"&amp;$C201&amp;"'!e$21"),0)+IFERROR(INDIRECT("'"&amp;"PEF_"&amp;$C201&amp;"'!e$45"),0)</f>
        <v>247074.93146594209</v>
      </c>
      <c r="E201" s="163">
        <f t="array" aca="1" ref="E201" ca="1">IFERROR(INDIRECT("'"&amp;"PEF_"&amp;$C201&amp;"'!h$21"),0)+IFERROR(INDIRECT("'"&amp;"PEF_"&amp;$C201&amp;"'!h$45"),0)</f>
        <v>253816.63439283002</v>
      </c>
      <c r="F201" s="163">
        <f t="array" aca="1" ref="F201" ca="1">IFERROR(INDIRECT("'"&amp;"PEF_"&amp;$C201&amp;"'!k$21"),0)+IFERROR(INDIRECT("'"&amp;"PEF_"&amp;$C201&amp;"'!k$45"),0)</f>
        <v>250380.18019382772</v>
      </c>
      <c r="G201" s="163">
        <f t="array" aca="1" ref="G201" ca="1">IFERROR(INDIRECT("'"&amp;"PEF_"&amp;$C201&amp;"'!m$21"),0)+IFERROR(INDIRECT("'"&amp;"PEF_"&amp;$C201&amp;"'!m$45"),0)</f>
        <v>0</v>
      </c>
      <c r="I201" s="164">
        <v>247790.53635384861</v>
      </c>
      <c r="J201" s="164">
        <v>257340.48826460444</v>
      </c>
      <c r="K201" s="164">
        <v>253904.03406560211</v>
      </c>
      <c r="L201" s="164">
        <v>246923.37060665331</v>
      </c>
      <c r="N201" s="164">
        <f t="shared" ca="1" si="20"/>
        <v>-715.60488790652016</v>
      </c>
      <c r="O201" s="164">
        <f t="shared" ca="1" si="21"/>
        <v>-3523.8538717744232</v>
      </c>
      <c r="P201" s="164">
        <f t="shared" ca="1" si="22"/>
        <v>-3523.8538717743941</v>
      </c>
      <c r="Q201" s="164">
        <f t="shared" ca="1" si="23"/>
        <v>-246923.37060665331</v>
      </c>
    </row>
    <row r="202" spans="2:17">
      <c r="B202" s="160" t="s">
        <v>117</v>
      </c>
      <c r="C202" s="161" t="s">
        <v>98</v>
      </c>
      <c r="D202" s="163">
        <f t="array" aca="1" ref="D202" ca="1">IFERROR(INDIRECT("'"&amp;"PEF_"&amp;$C202&amp;"'!e$21"),0)+IFERROR(INDIRECT("'"&amp;"PEF_"&amp;$C202&amp;"'!e$45"),0)</f>
        <v>0</v>
      </c>
      <c r="E202" s="163">
        <f t="array" aca="1" ref="E202" ca="1">IFERROR(INDIRECT("'"&amp;"PEF_"&amp;$C202&amp;"'!h$21"),0)+IFERROR(INDIRECT("'"&amp;"PEF_"&amp;$C202&amp;"'!h$45"),0)</f>
        <v>0</v>
      </c>
      <c r="F202" s="163">
        <f t="array" aca="1" ref="F202" ca="1">IFERROR(INDIRECT("'"&amp;"PEF_"&amp;$C202&amp;"'!k$21"),0)+IFERROR(INDIRECT("'"&amp;"PEF_"&amp;$C202&amp;"'!k$45"),0)</f>
        <v>0</v>
      </c>
      <c r="G202" s="163">
        <f t="array" aca="1" ref="G202" ca="1">IFERROR(INDIRECT("'"&amp;"PEF_"&amp;$C202&amp;"'!m$21"),0)+IFERROR(INDIRECT("'"&amp;"PEF_"&amp;$C202&amp;"'!m$45"),0)</f>
        <v>0</v>
      </c>
      <c r="I202" s="164">
        <v>0</v>
      </c>
      <c r="J202" s="164">
        <v>0</v>
      </c>
      <c r="K202" s="164">
        <v>0</v>
      </c>
      <c r="L202" s="164">
        <v>0</v>
      </c>
      <c r="N202" s="164">
        <f t="shared" ca="1" si="20"/>
        <v>0</v>
      </c>
      <c r="O202" s="164">
        <f t="shared" ca="1" si="21"/>
        <v>0</v>
      </c>
      <c r="P202" s="164">
        <f t="shared" ca="1" si="22"/>
        <v>0</v>
      </c>
      <c r="Q202" s="164">
        <f t="shared" ca="1" si="23"/>
        <v>0</v>
      </c>
    </row>
    <row r="203" spans="2:17">
      <c r="B203" s="160" t="s">
        <v>117</v>
      </c>
      <c r="C203" s="161" t="s">
        <v>99</v>
      </c>
      <c r="D203" s="163">
        <f t="array" aca="1" ref="D203" ca="1">IFERROR(INDIRECT("'"&amp;"PEF_"&amp;$C203&amp;"'!e$21"),0)+IFERROR(INDIRECT("'"&amp;"PEF_"&amp;$C203&amp;"'!e$45"),0)</f>
        <v>0</v>
      </c>
      <c r="E203" s="163">
        <f t="array" aca="1" ref="E203" ca="1">IFERROR(INDIRECT("'"&amp;"PEF_"&amp;$C203&amp;"'!h$21"),0)+IFERROR(INDIRECT("'"&amp;"PEF_"&amp;$C203&amp;"'!h$45"),0)</f>
        <v>0</v>
      </c>
      <c r="F203" s="163">
        <f t="array" aca="1" ref="F203" ca="1">IFERROR(INDIRECT("'"&amp;"PEF_"&amp;$C203&amp;"'!k$21"),0)+IFERROR(INDIRECT("'"&amp;"PEF_"&amp;$C203&amp;"'!k$45"),0)</f>
        <v>0</v>
      </c>
      <c r="G203" s="163">
        <f t="array" aca="1" ref="G203" ca="1">IFERROR(INDIRECT("'"&amp;"PEF_"&amp;$C203&amp;"'!m$21"),0)+IFERROR(INDIRECT("'"&amp;"PEF_"&amp;$C203&amp;"'!m$45"),0)</f>
        <v>0</v>
      </c>
      <c r="I203" s="164">
        <v>0</v>
      </c>
      <c r="J203" s="164">
        <v>0</v>
      </c>
      <c r="K203" s="164">
        <v>0</v>
      </c>
      <c r="L203" s="164">
        <v>0</v>
      </c>
      <c r="N203" s="164">
        <f t="shared" ca="1" si="20"/>
        <v>0</v>
      </c>
      <c r="O203" s="164">
        <f t="shared" ca="1" si="21"/>
        <v>0</v>
      </c>
      <c r="P203" s="164">
        <f t="shared" ca="1" si="22"/>
        <v>0</v>
      </c>
      <c r="Q203" s="164">
        <f t="shared" ca="1" si="23"/>
        <v>0</v>
      </c>
    </row>
    <row r="204" spans="2:17">
      <c r="B204" s="160" t="s">
        <v>117</v>
      </c>
      <c r="C204" s="161" t="s">
        <v>100</v>
      </c>
      <c r="D204" s="163">
        <f t="array" aca="1" ref="D204" ca="1">IFERROR(INDIRECT("'"&amp;"PEF_"&amp;$C204&amp;"'!e$21"),0)+IFERROR(INDIRECT("'"&amp;"PEF_"&amp;$C204&amp;"'!e$45"),0)</f>
        <v>0</v>
      </c>
      <c r="E204" s="163">
        <f t="array" aca="1" ref="E204" ca="1">IFERROR(INDIRECT("'"&amp;"PEF_"&amp;$C204&amp;"'!h$21"),0)+IFERROR(INDIRECT("'"&amp;"PEF_"&amp;$C204&amp;"'!h$45"),0)</f>
        <v>0</v>
      </c>
      <c r="F204" s="163">
        <f t="array" aca="1" ref="F204" ca="1">IFERROR(INDIRECT("'"&amp;"PEF_"&amp;$C204&amp;"'!k$21"),0)+IFERROR(INDIRECT("'"&amp;"PEF_"&amp;$C204&amp;"'!k$45"),0)</f>
        <v>0</v>
      </c>
      <c r="G204" s="163">
        <f t="array" aca="1" ref="G204" ca="1">IFERROR(INDIRECT("'"&amp;"PEF_"&amp;$C204&amp;"'!m$21"),0)+IFERROR(INDIRECT("'"&amp;"PEF_"&amp;$C204&amp;"'!m$45"),0)</f>
        <v>0</v>
      </c>
      <c r="I204" s="164">
        <v>0</v>
      </c>
      <c r="J204" s="164">
        <v>0</v>
      </c>
      <c r="K204" s="164">
        <v>0</v>
      </c>
      <c r="L204" s="164">
        <v>0</v>
      </c>
      <c r="N204" s="164">
        <f t="shared" ca="1" si="20"/>
        <v>0</v>
      </c>
      <c r="O204" s="164">
        <f t="shared" ca="1" si="21"/>
        <v>0</v>
      </c>
      <c r="P204" s="164">
        <f t="shared" ca="1" si="22"/>
        <v>0</v>
      </c>
      <c r="Q204" s="164">
        <f t="shared" ca="1" si="23"/>
        <v>0</v>
      </c>
    </row>
    <row r="205" spans="2:17">
      <c r="B205" s="160" t="s">
        <v>118</v>
      </c>
      <c r="C205" s="161" t="s">
        <v>101</v>
      </c>
      <c r="D205" s="163">
        <f t="array" aca="1" ref="D205" ca="1">IFERROR(INDIRECT("'"&amp;"PEF_"&amp;$C205&amp;"'!e$21"),0)+IFERROR(INDIRECT("'"&amp;"PEF_"&amp;$C205&amp;"'!e$45"),0)</f>
        <v>388738.66492704593</v>
      </c>
      <c r="E205" s="163">
        <f t="array" aca="1" ref="E205" ca="1">IFERROR(INDIRECT("'"&amp;"PEF_"&amp;$C205&amp;"'!h$21"),0)+IFERROR(INDIRECT("'"&amp;"PEF_"&amp;$C205&amp;"'!h$45"),0)</f>
        <v>402851.65227614768</v>
      </c>
      <c r="F205" s="163">
        <f t="array" aca="1" ref="F205" ca="1">IFERROR(INDIRECT("'"&amp;"PEF_"&amp;$C205&amp;"'!k$21"),0)+IFERROR(INDIRECT("'"&amp;"PEF_"&amp;$C205&amp;"'!k$45"),0)</f>
        <v>392622.69454285986</v>
      </c>
      <c r="G205" s="163">
        <f t="array" aca="1" ref="G205" ca="1">IFERROR(INDIRECT("'"&amp;"PEF_"&amp;$C205&amp;"'!m$21"),0)+IFERROR(INDIRECT("'"&amp;"PEF_"&amp;$C205&amp;"'!m$45"),0)</f>
        <v>0</v>
      </c>
      <c r="I205" s="164">
        <v>388738.66492704593</v>
      </c>
      <c r="J205" s="164">
        <v>402851.65227614774</v>
      </c>
      <c r="K205" s="164">
        <v>392622.69454285991</v>
      </c>
      <c r="L205" s="164">
        <v>390634.6933414411</v>
      </c>
      <c r="N205" s="164">
        <f t="shared" ca="1" si="20"/>
        <v>0</v>
      </c>
      <c r="O205" s="164">
        <f t="shared" ca="1" si="21"/>
        <v>0</v>
      </c>
      <c r="P205" s="164">
        <f t="shared" ca="1" si="22"/>
        <v>0</v>
      </c>
      <c r="Q205" s="164">
        <f t="shared" ca="1" si="23"/>
        <v>-390634.6933414411</v>
      </c>
    </row>
    <row r="206" spans="2:17">
      <c r="B206" s="160" t="s">
        <v>118</v>
      </c>
      <c r="C206" s="161" t="s">
        <v>102</v>
      </c>
      <c r="D206" s="163">
        <f t="array" aca="1" ref="D206" ca="1">IFERROR(INDIRECT("'"&amp;"PEF_"&amp;$C206&amp;"'!e$21"),0)+IFERROR(INDIRECT("'"&amp;"PEF_"&amp;$C206&amp;"'!e$45"),0)</f>
        <v>120154.77098714827</v>
      </c>
      <c r="E206" s="163">
        <f t="array" aca="1" ref="E206" ca="1">IFERROR(INDIRECT("'"&amp;"PEF_"&amp;$C206&amp;"'!h$21"),0)+IFERROR(INDIRECT("'"&amp;"PEF_"&amp;$C206&amp;"'!h$45"),0)</f>
        <v>120295.80944128855</v>
      </c>
      <c r="F206" s="163">
        <f t="array" aca="1" ref="F206" ca="1">IFERROR(INDIRECT("'"&amp;"PEF_"&amp;$C206&amp;"'!k$21"),0)+IFERROR(INDIRECT("'"&amp;"PEF_"&amp;$C206&amp;"'!k$45"),0)</f>
        <v>121102.61722968263</v>
      </c>
      <c r="G206" s="163">
        <f t="array" aca="1" ref="G206" ca="1">IFERROR(INDIRECT("'"&amp;"PEF_"&amp;$C206&amp;"'!m$21"),0)+IFERROR(INDIRECT("'"&amp;"PEF_"&amp;$C206&amp;"'!m$45"),0)</f>
        <v>0</v>
      </c>
      <c r="I206" s="164">
        <v>120154.77098714827</v>
      </c>
      <c r="J206" s="164">
        <v>120295.80944128858</v>
      </c>
      <c r="K206" s="164">
        <v>121102.61722968266</v>
      </c>
      <c r="L206" s="164">
        <v>121404.59778844405</v>
      </c>
      <c r="N206" s="164">
        <f t="shared" ca="1" si="20"/>
        <v>0</v>
      </c>
      <c r="O206" s="164">
        <f t="shared" ca="1" si="21"/>
        <v>0</v>
      </c>
      <c r="P206" s="164">
        <f t="shared" ca="1" si="22"/>
        <v>0</v>
      </c>
      <c r="Q206" s="164">
        <f t="shared" ca="1" si="23"/>
        <v>-121404.59778844405</v>
      </c>
    </row>
    <row r="207" spans="2:17">
      <c r="B207" s="160" t="s">
        <v>118</v>
      </c>
      <c r="C207" s="161" t="s">
        <v>103</v>
      </c>
      <c r="D207" s="163">
        <f t="array" aca="1" ref="D207" ca="1">IFERROR(INDIRECT("'"&amp;"PEF_"&amp;$C207&amp;"'!e$21"),0)+IFERROR(INDIRECT("'"&amp;"PEF_"&amp;$C207&amp;"'!e$45"),0)</f>
        <v>203016.75120441476</v>
      </c>
      <c r="E207" s="163">
        <f t="array" aca="1" ref="E207" ca="1">IFERROR(INDIRECT("'"&amp;"PEF_"&amp;$C207&amp;"'!h$21"),0)+IFERROR(INDIRECT("'"&amp;"PEF_"&amp;$C207&amp;"'!h$45"),0)</f>
        <v>206546.38957562763</v>
      </c>
      <c r="F207" s="163">
        <f t="array" aca="1" ref="F207" ca="1">IFERROR(INDIRECT("'"&amp;"PEF_"&amp;$C207&amp;"'!k$21"),0)+IFERROR(INDIRECT("'"&amp;"PEF_"&amp;$C207&amp;"'!k$45"),0)</f>
        <v>211063.6840918817</v>
      </c>
      <c r="G207" s="163">
        <f t="array" aca="1" ref="G207" ca="1">IFERROR(INDIRECT("'"&amp;"PEF_"&amp;$C207&amp;"'!m$21"),0)+IFERROR(INDIRECT("'"&amp;"PEF_"&amp;$C207&amp;"'!m$45"),0)</f>
        <v>0</v>
      </c>
      <c r="I207" s="164">
        <v>202915.25120441479</v>
      </c>
      <c r="J207" s="164">
        <v>205944.8895756276</v>
      </c>
      <c r="K207" s="164">
        <v>211063.68409188167</v>
      </c>
      <c r="L207" s="164">
        <v>209890.57305802908</v>
      </c>
      <c r="N207" s="164">
        <f t="shared" ca="1" si="20"/>
        <v>101.4999999999709</v>
      </c>
      <c r="O207" s="164">
        <f t="shared" ca="1" si="21"/>
        <v>601.5000000000291</v>
      </c>
      <c r="P207" s="164">
        <f t="shared" ca="1" si="22"/>
        <v>0</v>
      </c>
      <c r="Q207" s="164">
        <f t="shared" ca="1" si="23"/>
        <v>-209890.57305802908</v>
      </c>
    </row>
    <row r="208" spans="2:17">
      <c r="B208" s="160" t="s">
        <v>118</v>
      </c>
      <c r="C208" s="161" t="s">
        <v>104</v>
      </c>
      <c r="D208" s="163">
        <f t="array" aca="1" ref="D208" ca="1">IFERROR(INDIRECT("'"&amp;"PEF_"&amp;$C208&amp;"'!e$21"),0)+IFERROR(INDIRECT("'"&amp;"PEF_"&amp;$C208&amp;"'!e$45"),0)</f>
        <v>78261.060381305841</v>
      </c>
      <c r="E208" s="163">
        <f t="array" aca="1" ref="E208" ca="1">IFERROR(INDIRECT("'"&amp;"PEF_"&amp;$C208&amp;"'!h$21"),0)+IFERROR(INDIRECT("'"&amp;"PEF_"&amp;$C208&amp;"'!h$45"),0)</f>
        <v>76666.476127143236</v>
      </c>
      <c r="F208" s="163">
        <f t="array" aca="1" ref="F208" ca="1">IFERROR(INDIRECT("'"&amp;"PEF_"&amp;$C208&amp;"'!k$21"),0)+IFERROR(INDIRECT("'"&amp;"PEF_"&amp;$C208&amp;"'!k$45"),0)</f>
        <v>75586.701328947296</v>
      </c>
      <c r="G208" s="163">
        <f t="array" aca="1" ref="G208" ca="1">IFERROR(INDIRECT("'"&amp;"PEF_"&amp;$C208&amp;"'!m$21"),0)+IFERROR(INDIRECT("'"&amp;"PEF_"&amp;$C208&amp;"'!m$45"),0)</f>
        <v>0</v>
      </c>
      <c r="I208" s="164">
        <v>78261.060381305841</v>
      </c>
      <c r="J208" s="164">
        <v>76666.476127143236</v>
      </c>
      <c r="K208" s="164">
        <v>75586.701328947325</v>
      </c>
      <c r="L208" s="164">
        <v>77028.060002322105</v>
      </c>
      <c r="N208" s="164">
        <f t="shared" ca="1" si="20"/>
        <v>0</v>
      </c>
      <c r="O208" s="164">
        <f t="shared" ca="1" si="21"/>
        <v>0</v>
      </c>
      <c r="P208" s="164">
        <f t="shared" ca="1" si="22"/>
        <v>0</v>
      </c>
      <c r="Q208" s="164">
        <f t="shared" ca="1" si="23"/>
        <v>-77028.060002322105</v>
      </c>
    </row>
    <row r="209" spans="2:17">
      <c r="B209" s="160" t="s">
        <v>118</v>
      </c>
      <c r="C209" s="161" t="s">
        <v>105</v>
      </c>
      <c r="D209" s="163">
        <f t="array" aca="1" ref="D209" ca="1">IFERROR(INDIRECT("'"&amp;"PEF_"&amp;$C209&amp;"'!e$21"),0)+IFERROR(INDIRECT("'"&amp;"PEF_"&amp;$C209&amp;"'!e$45"),0)</f>
        <v>159397.90000000002</v>
      </c>
      <c r="E209" s="163">
        <f t="array" aca="1" ref="E209" ca="1">IFERROR(INDIRECT("'"&amp;"PEF_"&amp;$C209&amp;"'!h$21"),0)+IFERROR(INDIRECT("'"&amp;"PEF_"&amp;$C209&amp;"'!h$45"),0)</f>
        <v>170198.3763503388</v>
      </c>
      <c r="F209" s="163">
        <f t="array" aca="1" ref="F209" ca="1">IFERROR(INDIRECT("'"&amp;"PEF_"&amp;$C209&amp;"'!k$21"),0)+IFERROR(INDIRECT("'"&amp;"PEF_"&amp;$C209&amp;"'!k$45"),0)</f>
        <v>181084.32078076259</v>
      </c>
      <c r="G209" s="163">
        <f t="array" aca="1" ref="G209" ca="1">IFERROR(INDIRECT("'"&amp;"PEF_"&amp;$C209&amp;"'!m$21"),0)+IFERROR(INDIRECT("'"&amp;"PEF_"&amp;$C209&amp;"'!m$45"),0)</f>
        <v>0</v>
      </c>
      <c r="I209" s="164">
        <v>159397.93027728808</v>
      </c>
      <c r="J209" s="164">
        <v>170198.3763503388</v>
      </c>
      <c r="K209" s="164">
        <v>181084.32078076259</v>
      </c>
      <c r="L209" s="164">
        <v>187116.96947262625</v>
      </c>
      <c r="N209" s="164">
        <f t="shared" ca="1" si="20"/>
        <v>-3.0277288053184748E-2</v>
      </c>
      <c r="O209" s="164">
        <f t="shared" ca="1" si="21"/>
        <v>0</v>
      </c>
      <c r="P209" s="164">
        <f t="shared" ca="1" si="22"/>
        <v>0</v>
      </c>
      <c r="Q209" s="164">
        <f t="shared" ca="1" si="23"/>
        <v>-187116.96947262625</v>
      </c>
    </row>
    <row r="210" spans="2:17">
      <c r="B210" s="160" t="s">
        <v>117</v>
      </c>
      <c r="C210" s="161" t="s">
        <v>106</v>
      </c>
      <c r="D210" s="163">
        <f t="array" aca="1" ref="D210" ca="1">IFERROR(INDIRECT("'"&amp;"PEF_"&amp;$C210&amp;"'!e$21"),0)+IFERROR(INDIRECT("'"&amp;"PEF_"&amp;$C210&amp;"'!e$45"),0)</f>
        <v>0</v>
      </c>
      <c r="E210" s="163">
        <f t="array" aca="1" ref="E210" ca="1">IFERROR(INDIRECT("'"&amp;"PEF_"&amp;$C210&amp;"'!h$21"),0)+IFERROR(INDIRECT("'"&amp;"PEF_"&amp;$C210&amp;"'!h$45"),0)</f>
        <v>0</v>
      </c>
      <c r="F210" s="163">
        <f t="array" aca="1" ref="F210" ca="1">IFERROR(INDIRECT("'"&amp;"PEF_"&amp;$C210&amp;"'!k$21"),0)+IFERROR(INDIRECT("'"&amp;"PEF_"&amp;$C210&amp;"'!k$45"),0)</f>
        <v>0</v>
      </c>
      <c r="G210" s="163">
        <f t="array" aca="1" ref="G210" ca="1">IFERROR(INDIRECT("'"&amp;"PEF_"&amp;$C210&amp;"'!m$21"),0)+IFERROR(INDIRECT("'"&amp;"PEF_"&amp;$C210&amp;"'!m$45"),0)</f>
        <v>0</v>
      </c>
      <c r="I210" s="164">
        <v>0</v>
      </c>
      <c r="J210" s="164">
        <v>0</v>
      </c>
      <c r="K210" s="164">
        <v>0</v>
      </c>
      <c r="L210" s="164">
        <v>0</v>
      </c>
      <c r="N210" s="164">
        <f t="shared" ca="1" si="20"/>
        <v>0</v>
      </c>
      <c r="O210" s="164">
        <f t="shared" ca="1" si="21"/>
        <v>0</v>
      </c>
      <c r="P210" s="164">
        <f t="shared" ca="1" si="22"/>
        <v>0</v>
      </c>
      <c r="Q210" s="164">
        <f t="shared" ca="1" si="23"/>
        <v>0</v>
      </c>
    </row>
    <row r="211" spans="2:17">
      <c r="B211" s="160" t="s">
        <v>117</v>
      </c>
      <c r="C211" s="161" t="s">
        <v>107</v>
      </c>
      <c r="D211" s="163">
        <f t="array" aca="1" ref="D211" ca="1">IFERROR(INDIRECT("'"&amp;"PEF_"&amp;$C211&amp;"'!e$21"),0)+IFERROR(INDIRECT("'"&amp;"PEF_"&amp;$C211&amp;"'!e$45"),0)</f>
        <v>0</v>
      </c>
      <c r="E211" s="163">
        <f t="array" aca="1" ref="E211" ca="1">IFERROR(INDIRECT("'"&amp;"PEF_"&amp;$C211&amp;"'!h$21"),0)+IFERROR(INDIRECT("'"&amp;"PEF_"&amp;$C211&amp;"'!h$45"),0)</f>
        <v>0</v>
      </c>
      <c r="F211" s="163">
        <f t="array" aca="1" ref="F211" ca="1">IFERROR(INDIRECT("'"&amp;"PEF_"&amp;$C211&amp;"'!k$21"),0)+IFERROR(INDIRECT("'"&amp;"PEF_"&amp;$C211&amp;"'!k$45"),0)</f>
        <v>0</v>
      </c>
      <c r="G211" s="163">
        <f t="array" aca="1" ref="G211" ca="1">IFERROR(INDIRECT("'"&amp;"PEF_"&amp;$C211&amp;"'!m$21"),0)+IFERROR(INDIRECT("'"&amp;"PEF_"&amp;$C211&amp;"'!m$45"),0)</f>
        <v>0</v>
      </c>
      <c r="I211" s="164">
        <v>0</v>
      </c>
      <c r="J211" s="164">
        <v>0</v>
      </c>
      <c r="K211" s="164">
        <v>0</v>
      </c>
      <c r="L211" s="164">
        <v>0</v>
      </c>
      <c r="N211" s="164">
        <f t="shared" ca="1" si="20"/>
        <v>0</v>
      </c>
      <c r="O211" s="164">
        <f t="shared" ca="1" si="21"/>
        <v>0</v>
      </c>
      <c r="P211" s="164">
        <f t="shared" ca="1" si="22"/>
        <v>0</v>
      </c>
      <c r="Q211" s="164">
        <f t="shared" ca="1" si="23"/>
        <v>0</v>
      </c>
    </row>
    <row r="212" spans="2:17">
      <c r="B212" s="160" t="s">
        <v>117</v>
      </c>
      <c r="C212" s="161" t="s">
        <v>108</v>
      </c>
      <c r="D212" s="163">
        <f t="array" aca="1" ref="D212" ca="1">IFERROR(INDIRECT("'"&amp;"PEF_"&amp;$C212&amp;"'!e$21"),0)+IFERROR(INDIRECT("'"&amp;"PEF_"&amp;$C212&amp;"'!e$45"),0)</f>
        <v>0</v>
      </c>
      <c r="E212" s="163">
        <f t="array" aca="1" ref="E212" ca="1">IFERROR(INDIRECT("'"&amp;"PEF_"&amp;$C212&amp;"'!h$21"),0)+IFERROR(INDIRECT("'"&amp;"PEF_"&amp;$C212&amp;"'!h$45"),0)</f>
        <v>0</v>
      </c>
      <c r="F212" s="163">
        <f t="array" aca="1" ref="F212" ca="1">IFERROR(INDIRECT("'"&amp;"PEF_"&amp;$C212&amp;"'!k$21"),0)+IFERROR(INDIRECT("'"&amp;"PEF_"&amp;$C212&amp;"'!k$45"),0)</f>
        <v>0</v>
      </c>
      <c r="G212" s="163">
        <f t="array" aca="1" ref="G212" ca="1">IFERROR(INDIRECT("'"&amp;"PEF_"&amp;$C212&amp;"'!m$21"),0)+IFERROR(INDIRECT("'"&amp;"PEF_"&amp;$C212&amp;"'!m$45"),0)</f>
        <v>0</v>
      </c>
      <c r="I212" s="164">
        <v>0</v>
      </c>
      <c r="J212" s="164">
        <v>0</v>
      </c>
      <c r="K212" s="164">
        <v>0</v>
      </c>
      <c r="L212" s="164">
        <v>0</v>
      </c>
      <c r="N212" s="164">
        <f t="shared" ca="1" si="20"/>
        <v>0</v>
      </c>
      <c r="O212" s="164">
        <f t="shared" ca="1" si="21"/>
        <v>0</v>
      </c>
      <c r="P212" s="164">
        <f t="shared" ca="1" si="22"/>
        <v>0</v>
      </c>
      <c r="Q212" s="164">
        <f t="shared" ca="1" si="23"/>
        <v>0</v>
      </c>
    </row>
    <row r="213" spans="2:17">
      <c r="B213" s="160" t="s">
        <v>117</v>
      </c>
      <c r="C213" s="161" t="s">
        <v>109</v>
      </c>
      <c r="D213" s="163">
        <f t="array" aca="1" ref="D213" ca="1">IFERROR(INDIRECT("'"&amp;"PEF_"&amp;$C213&amp;"'!e$21"),0)+IFERROR(INDIRECT("'"&amp;"PEF_"&amp;$C213&amp;"'!e$45"),0)</f>
        <v>0</v>
      </c>
      <c r="E213" s="163">
        <f t="array" aca="1" ref="E213" ca="1">IFERROR(INDIRECT("'"&amp;"PEF_"&amp;$C213&amp;"'!h$21"),0)+IFERROR(INDIRECT("'"&amp;"PEF_"&amp;$C213&amp;"'!h$45"),0)</f>
        <v>0</v>
      </c>
      <c r="F213" s="163">
        <f t="array" aca="1" ref="F213" ca="1">IFERROR(INDIRECT("'"&amp;"PEF_"&amp;$C213&amp;"'!k$21"),0)+IFERROR(INDIRECT("'"&amp;"PEF_"&amp;$C213&amp;"'!k$45"),0)</f>
        <v>0</v>
      </c>
      <c r="G213" s="163">
        <f t="array" aca="1" ref="G213" ca="1">IFERROR(INDIRECT("'"&amp;"PEF_"&amp;$C213&amp;"'!m$21"),0)+IFERROR(INDIRECT("'"&amp;"PEF_"&amp;$C213&amp;"'!m$45"),0)</f>
        <v>0</v>
      </c>
      <c r="I213" s="164">
        <v>0</v>
      </c>
      <c r="J213" s="164">
        <v>0</v>
      </c>
      <c r="K213" s="164">
        <v>0</v>
      </c>
      <c r="L213" s="164">
        <v>0</v>
      </c>
      <c r="N213" s="164">
        <f t="shared" ca="1" si="20"/>
        <v>0</v>
      </c>
      <c r="O213" s="164">
        <f t="shared" ca="1" si="21"/>
        <v>0</v>
      </c>
      <c r="P213" s="164">
        <f t="shared" ca="1" si="22"/>
        <v>0</v>
      </c>
      <c r="Q213" s="164">
        <f t="shared" ca="1" si="23"/>
        <v>0</v>
      </c>
    </row>
    <row r="214" spans="2:17">
      <c r="B214" s="160" t="s">
        <v>118</v>
      </c>
      <c r="C214" s="161" t="s">
        <v>110</v>
      </c>
      <c r="D214" s="163">
        <f t="array" aca="1" ref="D214" ca="1">IFERROR(INDIRECT("'"&amp;"PEF_"&amp;$C214&amp;"'!e$21"),0)+IFERROR(INDIRECT("'"&amp;"PEF_"&amp;$C214&amp;"'!e$45"),0)</f>
        <v>220302.63977394201</v>
      </c>
      <c r="E214" s="163">
        <f t="array" aca="1" ref="E214" ca="1">IFERROR(INDIRECT("'"&amp;"PEF_"&amp;$C214&amp;"'!h$21"),0)+IFERROR(INDIRECT("'"&amp;"PEF_"&amp;$C214&amp;"'!h$45"),0)</f>
        <v>228503.80658628041</v>
      </c>
      <c r="F214" s="163">
        <f t="array" aca="1" ref="F214" ca="1">IFERROR(INDIRECT("'"&amp;"PEF_"&amp;$C214&amp;"'!k$21"),0)+IFERROR(INDIRECT("'"&amp;"PEF_"&amp;$C214&amp;"'!k$45"),0)</f>
        <v>227309.95292773619</v>
      </c>
      <c r="G214" s="163">
        <f t="array" aca="1" ref="G214" ca="1">IFERROR(INDIRECT("'"&amp;"PEF_"&amp;$C214&amp;"'!m$21"),0)+IFERROR(INDIRECT("'"&amp;"PEF_"&amp;$C214&amp;"'!m$45"),0)</f>
        <v>0</v>
      </c>
      <c r="I214" s="164">
        <v>220330.17344176397</v>
      </c>
      <c r="J214" s="164">
        <v>228531.31274794077</v>
      </c>
      <c r="K214" s="164">
        <v>227337.45908939664</v>
      </c>
      <c r="L214" s="164">
        <v>223284.3475359967</v>
      </c>
      <c r="N214" s="164">
        <f t="shared" ca="1" si="20"/>
        <v>-27.533667821960989</v>
      </c>
      <c r="O214" s="164">
        <f t="shared" ca="1" si="21"/>
        <v>-27.506161660363432</v>
      </c>
      <c r="P214" s="164">
        <f t="shared" ca="1" si="22"/>
        <v>-27.506161660450744</v>
      </c>
      <c r="Q214" s="164">
        <f t="shared" ca="1" si="23"/>
        <v>-223284.3475359967</v>
      </c>
    </row>
    <row r="215" spans="2:17">
      <c r="B215" s="160" t="s">
        <v>118</v>
      </c>
      <c r="C215" s="161" t="s">
        <v>111</v>
      </c>
      <c r="D215" s="163">
        <f t="array" aca="1" ref="D215" ca="1">IFERROR(INDIRECT("'"&amp;"PEF_"&amp;$C215&amp;"'!e$21"),0)+IFERROR(INDIRECT("'"&amp;"PEF_"&amp;$C215&amp;"'!e$45"),0)</f>
        <v>300676.20995774574</v>
      </c>
      <c r="E215" s="163">
        <f t="array" aca="1" ref="E215" ca="1">IFERROR(INDIRECT("'"&amp;"PEF_"&amp;$C215&amp;"'!h$21"),0)+IFERROR(INDIRECT("'"&amp;"PEF_"&amp;$C215&amp;"'!h$45"),0)</f>
        <v>310287.82113490393</v>
      </c>
      <c r="F215" s="163">
        <f t="array" aca="1" ref="F215" ca="1">IFERROR(INDIRECT("'"&amp;"PEF_"&amp;$C215&amp;"'!k$21"),0)+IFERROR(INDIRECT("'"&amp;"PEF_"&amp;$C215&amp;"'!k$45"),0)</f>
        <v>309018.44242128503</v>
      </c>
      <c r="G215" s="163">
        <f t="array" aca="1" ref="G215" ca="1">IFERROR(INDIRECT("'"&amp;"PEF_"&amp;$C215&amp;"'!m$21"),0)+IFERROR(INDIRECT("'"&amp;"PEF_"&amp;$C215&amp;"'!m$45"),0)</f>
        <v>0</v>
      </c>
      <c r="I215" s="164">
        <v>300699.33061750606</v>
      </c>
      <c r="J215" s="164">
        <v>310310.918697102</v>
      </c>
      <c r="K215" s="164">
        <v>309041.53998348321</v>
      </c>
      <c r="L215" s="164">
        <v>309015.71276249981</v>
      </c>
      <c r="N215" s="164">
        <f t="shared" ca="1" si="20"/>
        <v>-23.120659760315903</v>
      </c>
      <c r="O215" s="164">
        <f t="shared" ca="1" si="21"/>
        <v>-23.097562198061496</v>
      </c>
      <c r="P215" s="164">
        <f t="shared" ca="1" si="22"/>
        <v>-23.097562198177911</v>
      </c>
      <c r="Q215" s="164">
        <f t="shared" ca="1" si="23"/>
        <v>-309015.71276249981</v>
      </c>
    </row>
    <row r="216" spans="2:17">
      <c r="B216" s="160" t="s">
        <v>117</v>
      </c>
      <c r="C216" s="161" t="s">
        <v>112</v>
      </c>
      <c r="D216" s="163">
        <f t="array" aca="1" ref="D216" ca="1">IFERROR(INDIRECT("'"&amp;"PEF_"&amp;$C216&amp;"'!e$21"),0)+IFERROR(INDIRECT("'"&amp;"PEF_"&amp;$C216&amp;"'!e$45"),0)</f>
        <v>0</v>
      </c>
      <c r="E216" s="163">
        <f t="array" aca="1" ref="E216" ca="1">IFERROR(INDIRECT("'"&amp;"PEF_"&amp;$C216&amp;"'!h$21"),0)+IFERROR(INDIRECT("'"&amp;"PEF_"&amp;$C216&amp;"'!h$45"),0)</f>
        <v>0</v>
      </c>
      <c r="F216" s="163">
        <f t="array" aca="1" ref="F216" ca="1">IFERROR(INDIRECT("'"&amp;"PEF_"&amp;$C216&amp;"'!k$21"),0)+IFERROR(INDIRECT("'"&amp;"PEF_"&amp;$C216&amp;"'!k$45"),0)</f>
        <v>0</v>
      </c>
      <c r="G216" s="163">
        <f t="array" aca="1" ref="G216" ca="1">IFERROR(INDIRECT("'"&amp;"PEF_"&amp;$C216&amp;"'!m$21"),0)+IFERROR(INDIRECT("'"&amp;"PEF_"&amp;$C216&amp;"'!m$45"),0)</f>
        <v>0</v>
      </c>
      <c r="I216" s="164">
        <v>0</v>
      </c>
      <c r="J216" s="164">
        <v>0</v>
      </c>
      <c r="K216" s="164">
        <v>0</v>
      </c>
      <c r="L216" s="164">
        <v>0</v>
      </c>
      <c r="N216" s="164">
        <f t="shared" ca="1" si="20"/>
        <v>0</v>
      </c>
      <c r="O216" s="164">
        <f t="shared" ca="1" si="21"/>
        <v>0</v>
      </c>
      <c r="P216" s="164">
        <f t="shared" ca="1" si="22"/>
        <v>0</v>
      </c>
      <c r="Q216" s="164">
        <f t="shared" ca="1" si="23"/>
        <v>0</v>
      </c>
    </row>
    <row r="217" spans="2:17">
      <c r="B217" s="160" t="s">
        <v>118</v>
      </c>
      <c r="C217" s="161" t="s">
        <v>113</v>
      </c>
      <c r="D217" s="163">
        <f t="array" aca="1" ref="D217" ca="1">IFERROR(INDIRECT("'"&amp;"PEF_"&amp;$C217&amp;"'!e$21"),0)+IFERROR(INDIRECT("'"&amp;"PEF_"&amp;$C217&amp;"'!e$45"),0)</f>
        <v>54762.059178481752</v>
      </c>
      <c r="E217" s="163">
        <f t="array" aca="1" ref="E217" ca="1">IFERROR(INDIRECT("'"&amp;"PEF_"&amp;$C217&amp;"'!h$21"),0)+IFERROR(INDIRECT("'"&amp;"PEF_"&amp;$C217&amp;"'!h$45"),0)</f>
        <v>56516.738866062267</v>
      </c>
      <c r="F217" s="163">
        <f t="array" aca="1" ref="F217" ca="1">IFERROR(INDIRECT("'"&amp;"PEF_"&amp;$C217&amp;"'!k$21"),0)+IFERROR(INDIRECT("'"&amp;"PEF_"&amp;$C217&amp;"'!k$45"),0)</f>
        <v>56292.396397974007</v>
      </c>
      <c r="G217" s="163">
        <f t="array" aca="1" ref="G217" ca="1">IFERROR(INDIRECT("'"&amp;"PEF_"&amp;$C217&amp;"'!m$21"),0)+IFERROR(INDIRECT("'"&amp;"PEF_"&amp;$C217&amp;"'!m$45"),0)</f>
        <v>0</v>
      </c>
      <c r="I217" s="164">
        <v>55004.359178481733</v>
      </c>
      <c r="J217" s="164">
        <v>56516.738866062282</v>
      </c>
      <c r="K217" s="164">
        <v>56292.396397974029</v>
      </c>
      <c r="L217" s="164">
        <v>55854.472700061131</v>
      </c>
      <c r="N217" s="164">
        <f t="shared" ca="1" si="20"/>
        <v>-242.29999999998108</v>
      </c>
      <c r="O217" s="164">
        <f t="shared" ca="1" si="21"/>
        <v>0</v>
      </c>
      <c r="P217" s="164">
        <f t="shared" ca="1" si="22"/>
        <v>0</v>
      </c>
      <c r="Q217" s="164">
        <f t="shared" ca="1" si="23"/>
        <v>-55854.472700061131</v>
      </c>
    </row>
    <row r="218" spans="2:17">
      <c r="B218" s="160" t="s">
        <v>118</v>
      </c>
      <c r="C218" s="161" t="s">
        <v>114</v>
      </c>
      <c r="D218" s="163">
        <f t="array" aca="1" ref="D218" ca="1">IFERROR(INDIRECT("'"&amp;"PEF_"&amp;$C218&amp;"'!e$21"),0)+IFERROR(INDIRECT("'"&amp;"PEF_"&amp;$C218&amp;"'!e$45"),0)</f>
        <v>9114790.1423636619</v>
      </c>
      <c r="E218" s="163">
        <f t="array" aca="1" ref="E218" ca="1">IFERROR(INDIRECT("'"&amp;"PEF_"&amp;$C218&amp;"'!h$21"),0)+IFERROR(INDIRECT("'"&amp;"PEF_"&amp;$C218&amp;"'!h$45"),0)</f>
        <v>9310427.5420598648</v>
      </c>
      <c r="F218" s="163">
        <f t="array" aca="1" ref="F218" ca="1">IFERROR(INDIRECT("'"&amp;"PEF_"&amp;$C218&amp;"'!k$21"),0)+IFERROR(INDIRECT("'"&amp;"PEF_"&amp;$C218&amp;"'!k$45"),0)</f>
        <v>9369946.3569915295</v>
      </c>
      <c r="G218" s="163">
        <f t="array" aca="1" ref="G218" ca="1">IFERROR(INDIRECT("'"&amp;"PEF_"&amp;$C218&amp;"'!m$21"),0)+IFERROR(INDIRECT("'"&amp;"PEF_"&amp;$C218&amp;"'!m$45"),0)</f>
        <v>0</v>
      </c>
      <c r="I218" s="164">
        <v>9115414.7758096624</v>
      </c>
      <c r="J218" s="164">
        <v>9311051.5120181497</v>
      </c>
      <c r="K218" s="164">
        <v>9370570.3145697322</v>
      </c>
      <c r="L218" s="164">
        <v>9430948.3404861521</v>
      </c>
      <c r="N218" s="164">
        <f t="shared" ca="1" si="20"/>
        <v>-624.63344600051641</v>
      </c>
      <c r="O218" s="164">
        <f t="shared" ca="1" si="21"/>
        <v>-623.96995828486979</v>
      </c>
      <c r="P218" s="164">
        <f t="shared" ca="1" si="22"/>
        <v>-623.95757820270956</v>
      </c>
      <c r="Q218" s="164">
        <f t="shared" ca="1" si="23"/>
        <v>-9430948.3404861521</v>
      </c>
    </row>
    <row r="219" spans="2:17">
      <c r="B219" s="160" t="s">
        <v>117</v>
      </c>
      <c r="C219" s="161" t="s">
        <v>115</v>
      </c>
      <c r="D219" s="163">
        <f t="array" aca="1" ref="D219" ca="1">IFERROR(INDIRECT("'"&amp;"PEF_"&amp;$C219&amp;"'!e$21"),0)+IFERROR(INDIRECT("'"&amp;"PEF_"&amp;$C219&amp;"'!e$45"),0)</f>
        <v>0</v>
      </c>
      <c r="E219" s="163">
        <f t="array" aca="1" ref="E219" ca="1">IFERROR(INDIRECT("'"&amp;"PEF_"&amp;$C219&amp;"'!h$21"),0)+IFERROR(INDIRECT("'"&amp;"PEF_"&amp;$C219&amp;"'!h$45"),0)</f>
        <v>0</v>
      </c>
      <c r="F219" s="163">
        <f t="array" aca="1" ref="F219" ca="1">IFERROR(INDIRECT("'"&amp;"PEF_"&amp;$C219&amp;"'!k$21"),0)+IFERROR(INDIRECT("'"&amp;"PEF_"&amp;$C219&amp;"'!k$45"),0)</f>
        <v>0</v>
      </c>
      <c r="G219" s="163">
        <f t="array" aca="1" ref="G219" ca="1">IFERROR(INDIRECT("'"&amp;"PEF_"&amp;$C219&amp;"'!m$21"),0)+IFERROR(INDIRECT("'"&amp;"PEF_"&amp;$C219&amp;"'!m$45"),0)</f>
        <v>0</v>
      </c>
      <c r="I219" s="164">
        <v>0</v>
      </c>
      <c r="J219" s="164">
        <v>0</v>
      </c>
      <c r="K219" s="164">
        <v>0</v>
      </c>
      <c r="L219" s="164">
        <v>0</v>
      </c>
      <c r="N219" s="164">
        <f t="shared" ca="1" si="20"/>
        <v>0</v>
      </c>
      <c r="O219" s="164">
        <f t="shared" ca="1" si="21"/>
        <v>0</v>
      </c>
      <c r="P219" s="164">
        <f t="shared" ca="1" si="22"/>
        <v>0</v>
      </c>
      <c r="Q219" s="164">
        <f t="shared" ca="1" si="23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A40" zoomScale="80" zoomScaleNormal="80" zoomScalePageLayoutView="80" workbookViewId="0">
      <selection activeCell="D51" sqref="D51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82</v>
      </c>
      <c r="B1" s="2" t="str">
        <f>"       PEF 2022 - 2025"&amp;" - "&amp;A1</f>
        <v xml:space="preserve">       PEF 2022 - 2025 - Campagna Lupia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128</v>
      </c>
      <c r="E4" s="188"/>
      <c r="F4" s="189"/>
      <c r="G4" s="187" t="str">
        <f>D4</f>
        <v>Ambito tariffario: Campagna Lupia</v>
      </c>
      <c r="H4" s="188"/>
      <c r="I4" s="189"/>
      <c r="J4" s="187" t="str">
        <f>D4</f>
        <v>Ambito tariffario: Campagna Lupia</v>
      </c>
      <c r="K4" s="188"/>
      <c r="L4" s="189"/>
      <c r="M4" s="187" t="str">
        <f>D4</f>
        <v>Ambito tariffario: Campagna Lupia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88180.608081106024</v>
      </c>
      <c r="E6" s="22">
        <v>0</v>
      </c>
      <c r="F6" s="23">
        <f>D6+E6</f>
        <v>88180.608081106024</v>
      </c>
      <c r="G6" s="22">
        <v>91218.765174594198</v>
      </c>
      <c r="H6" s="22">
        <v>0</v>
      </c>
      <c r="I6" s="23">
        <f>G6+H6</f>
        <v>91218.765174594198</v>
      </c>
      <c r="J6" s="22">
        <v>91218.765174594198</v>
      </c>
      <c r="K6" s="22">
        <v>0</v>
      </c>
      <c r="L6" s="23">
        <f>J6+K6</f>
        <v>91218.765174594198</v>
      </c>
      <c r="M6" s="22">
        <v>91218.765174594198</v>
      </c>
      <c r="N6" s="22">
        <v>0</v>
      </c>
      <c r="O6" s="23">
        <f>M6+N6</f>
        <v>91218.765174594198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93391.546863844109</v>
      </c>
      <c r="E7" s="22">
        <v>0</v>
      </c>
      <c r="F7" s="23">
        <f t="shared" ref="F7:F20" si="0">D7+E7</f>
        <v>93391.546863844109</v>
      </c>
      <c r="G7" s="22">
        <v>97760.542801934396</v>
      </c>
      <c r="H7" s="22">
        <v>0</v>
      </c>
      <c r="I7" s="23">
        <f t="shared" ref="I7:I13" si="1">G7+H7</f>
        <v>97760.542801934396</v>
      </c>
      <c r="J7" s="22">
        <v>97760.542801934396</v>
      </c>
      <c r="K7" s="22">
        <v>0</v>
      </c>
      <c r="L7" s="23">
        <f t="shared" ref="L7:L12" si="2">J7+K7</f>
        <v>97760.542801934396</v>
      </c>
      <c r="M7" s="22">
        <v>97760.542801934396</v>
      </c>
      <c r="N7" s="22">
        <v>0</v>
      </c>
      <c r="O7" s="23">
        <f t="shared" ref="O7:O13" si="3">M7+N7</f>
        <v>97760.542801934396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123874.34064978741</v>
      </c>
      <c r="E8" s="22">
        <v>0</v>
      </c>
      <c r="F8" s="23">
        <f t="shared" si="0"/>
        <v>123874.34064978741</v>
      </c>
      <c r="G8" s="22">
        <v>129672.40512547502</v>
      </c>
      <c r="H8" s="22">
        <v>0</v>
      </c>
      <c r="I8" s="23">
        <f t="shared" si="1"/>
        <v>129672.40512547502</v>
      </c>
      <c r="J8" s="22">
        <v>129672.40512547502</v>
      </c>
      <c r="K8" s="22">
        <v>0</v>
      </c>
      <c r="L8" s="23">
        <f t="shared" si="2"/>
        <v>129672.40512547502</v>
      </c>
      <c r="M8" s="22">
        <v>129672.40512547502</v>
      </c>
      <c r="N8" s="22">
        <v>0</v>
      </c>
      <c r="O8" s="23">
        <f t="shared" si="3"/>
        <v>129672.40512547502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199949.66856535521</v>
      </c>
      <c r="E9" s="22">
        <v>0</v>
      </c>
      <c r="F9" s="23">
        <f t="shared" si="0"/>
        <v>199949.66856535521</v>
      </c>
      <c r="G9" s="22">
        <v>205597.00687317355</v>
      </c>
      <c r="H9" s="22">
        <v>0</v>
      </c>
      <c r="I9" s="23">
        <f t="shared" si="1"/>
        <v>205597.00687317355</v>
      </c>
      <c r="J9" s="22">
        <v>205597.00687317355</v>
      </c>
      <c r="K9" s="22">
        <v>0</v>
      </c>
      <c r="L9" s="23">
        <f t="shared" si="2"/>
        <v>205597.00687317355</v>
      </c>
      <c r="M9" s="22">
        <v>205597.00687317355</v>
      </c>
      <c r="N9" s="22">
        <v>0</v>
      </c>
      <c r="O9" s="23">
        <f t="shared" si="3"/>
        <v>205597.00687317355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2614.6700753298005</v>
      </c>
      <c r="E11" s="22">
        <v>0</v>
      </c>
      <c r="F11" s="23">
        <f t="shared" si="0"/>
        <v>2614.6700753298005</v>
      </c>
      <c r="G11" s="22">
        <v>2614.6700753298005</v>
      </c>
      <c r="H11" s="22">
        <v>0</v>
      </c>
      <c r="I11" s="23">
        <f t="shared" si="1"/>
        <v>2614.6700753298005</v>
      </c>
      <c r="J11" s="22">
        <v>2614.6700753298005</v>
      </c>
      <c r="K11" s="22">
        <v>0</v>
      </c>
      <c r="L11" s="23">
        <f t="shared" si="2"/>
        <v>2614.6700753298005</v>
      </c>
      <c r="M11" s="22">
        <v>2614.6700753298005</v>
      </c>
      <c r="N11" s="22">
        <v>0</v>
      </c>
      <c r="O11" s="23">
        <f t="shared" si="3"/>
        <v>2614.6700753298005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55449.447478351409</v>
      </c>
      <c r="E13" s="22">
        <v>0</v>
      </c>
      <c r="F13" s="23">
        <f t="shared" si="0"/>
        <v>55449.447478351409</v>
      </c>
      <c r="G13" s="22">
        <v>55394.053424926489</v>
      </c>
      <c r="H13" s="22">
        <v>0</v>
      </c>
      <c r="I13" s="23">
        <f t="shared" si="1"/>
        <v>55394.053424926489</v>
      </c>
      <c r="J13" s="22">
        <v>55394.053424926489</v>
      </c>
      <c r="K13" s="22">
        <v>0</v>
      </c>
      <c r="L13" s="23">
        <f>J13+K13</f>
        <v>55394.053424926489</v>
      </c>
      <c r="M13" s="22">
        <v>55394.053424926489</v>
      </c>
      <c r="N13" s="22">
        <v>0</v>
      </c>
      <c r="O13" s="23">
        <f t="shared" si="3"/>
        <v>55394.053424926489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33269.668487010844</v>
      </c>
      <c r="E15" s="22">
        <v>0</v>
      </c>
      <c r="F15" s="23">
        <f t="shared" si="0"/>
        <v>33269.668487010844</v>
      </c>
      <c r="G15" s="22">
        <v>33236.432054955891</v>
      </c>
      <c r="H15" s="22">
        <v>0</v>
      </c>
      <c r="I15" s="23">
        <f t="shared" ref="I15:I16" si="4">G15+H15</f>
        <v>33236.432054955891</v>
      </c>
      <c r="J15" s="22">
        <v>33236.432054955891</v>
      </c>
      <c r="K15" s="22">
        <v>0</v>
      </c>
      <c r="L15" s="23">
        <f t="shared" ref="L15:L16" si="5">J15+K15</f>
        <v>33236.432054955891</v>
      </c>
      <c r="M15" s="22">
        <v>33236.432054955891</v>
      </c>
      <c r="N15" s="22">
        <v>0</v>
      </c>
      <c r="O15" s="23">
        <f t="shared" ref="O15:O16" si="6">M15+N15</f>
        <v>33236.432054955891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425.12238441326843</v>
      </c>
      <c r="E16" s="22">
        <v>0</v>
      </c>
      <c r="F16" s="23">
        <f t="shared" si="0"/>
        <v>425.12238441326843</v>
      </c>
      <c r="G16" s="22">
        <v>424.69768672654192</v>
      </c>
      <c r="H16" s="22">
        <v>0</v>
      </c>
      <c r="I16" s="23">
        <f t="shared" si="4"/>
        <v>424.69768672654192</v>
      </c>
      <c r="J16" s="22">
        <v>424.69768672654192</v>
      </c>
      <c r="K16" s="22">
        <v>0</v>
      </c>
      <c r="L16" s="23">
        <f t="shared" si="5"/>
        <v>424.69768672654192</v>
      </c>
      <c r="M16" s="22">
        <v>424.69768672654192</v>
      </c>
      <c r="N16" s="22">
        <v>0</v>
      </c>
      <c r="O16" s="23">
        <f t="shared" si="6"/>
        <v>424.69768672654192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280.58077371275721</v>
      </c>
      <c r="E19" s="22">
        <v>0</v>
      </c>
      <c r="F19" s="23">
        <f t="shared" si="0"/>
        <v>280.58077371275721</v>
      </c>
      <c r="G19" s="22">
        <v>280.30047323951766</v>
      </c>
      <c r="H19" s="22">
        <v>0</v>
      </c>
      <c r="I19" s="23">
        <f t="shared" ref="I19:I20" si="7">G19+H19</f>
        <v>280.30047323951766</v>
      </c>
      <c r="J19" s="22">
        <v>280.30047323951766</v>
      </c>
      <c r="K19" s="22">
        <v>0</v>
      </c>
      <c r="L19" s="23">
        <f t="shared" ref="L19:L20" si="8">J19+K19</f>
        <v>280.30047323951766</v>
      </c>
      <c r="M19" s="32">
        <v>280.30047323951766</v>
      </c>
      <c r="N19" s="33">
        <v>0</v>
      </c>
      <c r="O19" s="23">
        <f t="shared" ref="O19:O20" si="9">M19+N19</f>
        <v>280.30047323951766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22">
        <v>0</v>
      </c>
      <c r="F20" s="23">
        <f t="shared" si="0"/>
        <v>0</v>
      </c>
      <c r="G20" s="22">
        <v>0</v>
      </c>
      <c r="H20" s="22">
        <v>0</v>
      </c>
      <c r="I20" s="23">
        <f t="shared" si="7"/>
        <v>0</v>
      </c>
      <c r="J20" s="22">
        <v>18719.04</v>
      </c>
      <c r="K20" s="22">
        <v>0</v>
      </c>
      <c r="L20" s="23">
        <f t="shared" si="8"/>
        <v>18719.04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v>0</v>
      </c>
      <c r="F21" s="23">
        <f>E21</f>
        <v>0</v>
      </c>
      <c r="G21" s="34"/>
      <c r="H21" s="22">
        <v>0</v>
      </c>
      <c r="I21" s="23">
        <f>H21</f>
        <v>0</v>
      </c>
      <c r="J21" s="34"/>
      <c r="K21" s="22">
        <v>0</v>
      </c>
      <c r="L21" s="23">
        <f>K21</f>
        <v>0</v>
      </c>
      <c r="M21" s="34"/>
      <c r="N21" s="22">
        <v>0</v>
      </c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>
        <v>0</v>
      </c>
      <c r="H22" s="22">
        <v>0</v>
      </c>
      <c r="I22" s="36">
        <f t="shared" ref="I22" si="10">G22+H22</f>
        <v>0</v>
      </c>
      <c r="J22" s="22">
        <v>0</v>
      </c>
      <c r="K22" s="22">
        <v>0</v>
      </c>
      <c r="L22" s="36">
        <f t="shared" ref="L22" si="11">J22+K22</f>
        <v>0</v>
      </c>
      <c r="M22" s="22">
        <v>0</v>
      </c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474460.5849746989</v>
      </c>
      <c r="E23" s="38">
        <f>E6+E7+E8+E9+E10+E11+E12-E15-E19+E20+E21</f>
        <v>0</v>
      </c>
      <c r="F23" s="38">
        <f>D23+E23</f>
        <v>474460.5849746989</v>
      </c>
      <c r="G23" s="38">
        <f>G6+G7+G8+G9+G10+G11+G12-G15-G19+G20+G22</f>
        <v>493346.65752231167</v>
      </c>
      <c r="H23" s="38">
        <f>H6+H7+H8+H9+H10+H11+H12-H15-H19+H20+H21+H22</f>
        <v>0</v>
      </c>
      <c r="I23" s="38">
        <f>G23+H23</f>
        <v>493346.65752231167</v>
      </c>
      <c r="J23" s="38">
        <f>J6+J7+J8+J9+J10+J11+J12-J15-J19+J20+J22</f>
        <v>512065.69752231165</v>
      </c>
      <c r="K23" s="38">
        <f>K6+K7+K8+K9+K10+K11+K12-K15-K19+K20+K21+K22</f>
        <v>0</v>
      </c>
      <c r="L23" s="38">
        <f>J23+K23</f>
        <v>512065.69752231165</v>
      </c>
      <c r="M23" s="38">
        <f>M6+M7+M8+M9+M10+M11+M12-M15-M19+M20+M22</f>
        <v>493346.65752231167</v>
      </c>
      <c r="N23" s="38">
        <f>N6+N7+N8+N9+N10+N11+N12-N15-N19+N20+N21+N22</f>
        <v>0</v>
      </c>
      <c r="O23" s="38">
        <f>M23+N23</f>
        <v>493346.65752231167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104585.62324618273</v>
      </c>
      <c r="E25" s="44">
        <v>0</v>
      </c>
      <c r="F25" s="45">
        <f t="shared" ref="F25:F44" si="13">D25+E25</f>
        <v>104585.62324618273</v>
      </c>
      <c r="G25" s="44">
        <v>109318.85506049862</v>
      </c>
      <c r="H25" s="44">
        <v>0</v>
      </c>
      <c r="I25" s="45">
        <f t="shared" ref="I25:I33" si="14">G25+H25</f>
        <v>109318.85506049862</v>
      </c>
      <c r="J25" s="44">
        <v>109318.85506049862</v>
      </c>
      <c r="K25" s="44">
        <v>0</v>
      </c>
      <c r="L25" s="45">
        <f t="shared" ref="L25:L44" si="15">J25+K25</f>
        <v>109318.85506049862</v>
      </c>
      <c r="M25" s="44">
        <v>109318.85506049862</v>
      </c>
      <c r="N25" s="44">
        <v>0</v>
      </c>
      <c r="O25" s="45">
        <f t="shared" ref="O25:O43" si="16">M25+N25</f>
        <v>109318.85506049862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62811.566903099083</v>
      </c>
      <c r="E26" s="22">
        <v>0</v>
      </c>
      <c r="F26" s="36">
        <f t="shared" si="13"/>
        <v>62811.566903099083</v>
      </c>
      <c r="G26" s="22">
        <v>64651.581986587407</v>
      </c>
      <c r="H26" s="22">
        <v>0</v>
      </c>
      <c r="I26" s="36">
        <f t="shared" si="14"/>
        <v>64651.581986587407</v>
      </c>
      <c r="J26" s="22">
        <v>64651.581986587407</v>
      </c>
      <c r="K26" s="22">
        <v>0</v>
      </c>
      <c r="L26" s="36">
        <f t="shared" si="15"/>
        <v>64651.581986587407</v>
      </c>
      <c r="M26" s="22">
        <v>64651.581986587407</v>
      </c>
      <c r="N26" s="22">
        <v>0</v>
      </c>
      <c r="O26" s="36">
        <f t="shared" si="16"/>
        <v>64651.581986587407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73610.619900610676</v>
      </c>
      <c r="E27" s="47">
        <v>0</v>
      </c>
      <c r="F27" s="48">
        <f t="shared" si="13"/>
        <v>73610.619900610676</v>
      </c>
      <c r="G27" s="47">
        <v>76445.098855593678</v>
      </c>
      <c r="H27" s="47">
        <v>0</v>
      </c>
      <c r="I27" s="48">
        <f t="shared" si="14"/>
        <v>76445.098855593678</v>
      </c>
      <c r="J27" s="47">
        <v>76445.098855593678</v>
      </c>
      <c r="K27" s="47">
        <v>0</v>
      </c>
      <c r="L27" s="48">
        <f t="shared" si="15"/>
        <v>76445.098855593678</v>
      </c>
      <c r="M27" s="47">
        <v>76445.098855593678</v>
      </c>
      <c r="N27" s="47">
        <v>0</v>
      </c>
      <c r="O27" s="48">
        <f t="shared" si="16"/>
        <v>76445.098855593678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12494.575764106059</v>
      </c>
      <c r="E29" s="47">
        <v>0</v>
      </c>
      <c r="F29" s="48">
        <f t="shared" si="13"/>
        <v>12494.575764106059</v>
      </c>
      <c r="G29" s="47">
        <v>12584.338774579681</v>
      </c>
      <c r="H29" s="47">
        <v>0</v>
      </c>
      <c r="I29" s="48">
        <f t="shared" si="14"/>
        <v>12584.338774579681</v>
      </c>
      <c r="J29" s="47">
        <v>12584.338774579681</v>
      </c>
      <c r="K29" s="47">
        <v>0</v>
      </c>
      <c r="L29" s="48">
        <f t="shared" si="15"/>
        <v>12584.338774579681</v>
      </c>
      <c r="M29" s="47">
        <v>12584.338774579681</v>
      </c>
      <c r="N29" s="47">
        <v>0</v>
      </c>
      <c r="O29" s="48">
        <f t="shared" si="16"/>
        <v>12584.338774579681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148916.76256781584</v>
      </c>
      <c r="E30" s="51">
        <f>+E26+E27+E28+E29</f>
        <v>0</v>
      </c>
      <c r="F30" s="52">
        <f t="shared" si="13"/>
        <v>148916.76256781584</v>
      </c>
      <c r="G30" s="51">
        <f>+G26+G27+G28+G29</f>
        <v>153681.01961676078</v>
      </c>
      <c r="H30" s="51">
        <f>+H26+H27+H28+H29</f>
        <v>0</v>
      </c>
      <c r="I30" s="52">
        <f t="shared" si="14"/>
        <v>153681.01961676078</v>
      </c>
      <c r="J30" s="51">
        <f>+J26+J27+J28+J29</f>
        <v>153681.01961676078</v>
      </c>
      <c r="K30" s="51">
        <f>+K26+K27+K28+K29</f>
        <v>0</v>
      </c>
      <c r="L30" s="52">
        <f t="shared" si="15"/>
        <v>153681.01961676078</v>
      </c>
      <c r="M30" s="51">
        <f>+M26+M27+M28+M29</f>
        <v>153681.01961676078</v>
      </c>
      <c r="N30" s="51">
        <f>+N26+N27+N28+N29</f>
        <v>0</v>
      </c>
      <c r="O30" s="52">
        <f t="shared" si="16"/>
        <v>153681.01961676078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64133.514215334799</v>
      </c>
      <c r="E31" s="53">
        <v>0</v>
      </c>
      <c r="F31" s="48">
        <f t="shared" si="13"/>
        <v>64133.514215334799</v>
      </c>
      <c r="G31" s="147">
        <f>VLOOKUP($A$1,REM_ToolEnrico!$B$5:$J$38,4,FALSE)</f>
        <v>56468.382529442606</v>
      </c>
      <c r="H31" s="53">
        <v>0</v>
      </c>
      <c r="I31" s="48">
        <f t="shared" si="14"/>
        <v>56468.382529442606</v>
      </c>
      <c r="J31" s="147">
        <f>VLOOKUP($A$1,REM_ToolEnrico!$B$5:$J$38,6,FALSE)</f>
        <v>53417.24036951123</v>
      </c>
      <c r="K31" s="53">
        <v>0</v>
      </c>
      <c r="L31" s="48">
        <f t="shared" si="15"/>
        <v>53417.24036951123</v>
      </c>
      <c r="M31" s="147">
        <f>VLOOKUP($A$1,REM_ToolEnrico!$B$5:$J$38,8,FALSE)</f>
        <v>50502.665101162056</v>
      </c>
      <c r="N31" s="53">
        <v>0</v>
      </c>
      <c r="O31" s="48">
        <f t="shared" si="16"/>
        <v>50502.665101162056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43942.496634616225</v>
      </c>
      <c r="E32" s="54">
        <f>+E33+E34+E35+E36</f>
        <v>0</v>
      </c>
      <c r="F32" s="48">
        <f t="shared" si="13"/>
        <v>43942.496634616225</v>
      </c>
      <c r="G32" s="54">
        <f>+G33+G34+G35+G36</f>
        <v>43898.598036579642</v>
      </c>
      <c r="H32" s="54">
        <f>+H33+H34+H35+H36</f>
        <v>0</v>
      </c>
      <c r="I32" s="48">
        <f t="shared" si="14"/>
        <v>43898.598036579642</v>
      </c>
      <c r="J32" s="54">
        <f>+J33+J34+J35+J36</f>
        <v>43898.598036579642</v>
      </c>
      <c r="K32" s="54">
        <f>+K33+K34+K35+K36</f>
        <v>0</v>
      </c>
      <c r="L32" s="48">
        <f t="shared" si="15"/>
        <v>43898.598036579642</v>
      </c>
      <c r="M32" s="54">
        <f>+M33+M34+M35+M36</f>
        <v>43898.598036579642</v>
      </c>
      <c r="N32" s="54">
        <f>+N33+N34+N35+N36</f>
        <v>0</v>
      </c>
      <c r="O32" s="48">
        <f t="shared" si="16"/>
        <v>43898.598036579642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43942.496634616225</v>
      </c>
      <c r="E34" s="47">
        <v>0</v>
      </c>
      <c r="F34" s="48">
        <f>D34+E34</f>
        <v>43942.496634616225</v>
      </c>
      <c r="G34" s="47">
        <v>43898.598036579642</v>
      </c>
      <c r="H34" s="47">
        <v>0</v>
      </c>
      <c r="I34" s="48">
        <f>G34+H34</f>
        <v>43898.598036579642</v>
      </c>
      <c r="J34" s="47">
        <v>43898.598036579642</v>
      </c>
      <c r="K34" s="47">
        <v>0</v>
      </c>
      <c r="L34" s="48">
        <f t="shared" si="15"/>
        <v>43898.598036579642</v>
      </c>
      <c r="M34" s="47">
        <v>43898.598036579642</v>
      </c>
      <c r="N34" s="47">
        <v>0</v>
      </c>
      <c r="O34" s="48">
        <f t="shared" si="16"/>
        <v>43898.598036579642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34342.301361260957</v>
      </c>
      <c r="E37" s="47">
        <v>0</v>
      </c>
      <c r="F37" s="48">
        <f t="shared" si="13"/>
        <v>34342.301361260957</v>
      </c>
      <c r="G37" s="147">
        <f>VLOOKUP($A$1,REM_ToolEnrico!$B$5:$J$38,5,FALSE)</f>
        <v>35320.855281586802</v>
      </c>
      <c r="H37" s="47">
        <v>0</v>
      </c>
      <c r="I37" s="48">
        <f t="shared" si="17"/>
        <v>35320.855281586802</v>
      </c>
      <c r="J37" s="147">
        <f>VLOOKUP($A$1,REM_ToolEnrico!$B$5:$J$38,7,FALSE)</f>
        <v>33718.336498490724</v>
      </c>
      <c r="K37" s="47">
        <v>0</v>
      </c>
      <c r="L37" s="48">
        <f t="shared" si="15"/>
        <v>33718.336498490724</v>
      </c>
      <c r="M37" s="147">
        <f>VLOOKUP($A$1,REM_ToolEnrico!$B$5:$J$38,9,FALSE)</f>
        <v>31979.81254473946</v>
      </c>
      <c r="N37" s="47">
        <v>0</v>
      </c>
      <c r="O37" s="48">
        <f t="shared" si="16"/>
        <v>31979.81254473946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386.51084676946567</v>
      </c>
      <c r="E38" s="47">
        <v>0</v>
      </c>
      <c r="F38" s="48">
        <f t="shared" si="13"/>
        <v>386.51084676946567</v>
      </c>
      <c r="G38" s="47">
        <v>387.28386846300452</v>
      </c>
      <c r="H38" s="47">
        <v>0</v>
      </c>
      <c r="I38" s="48">
        <f t="shared" si="17"/>
        <v>387.28386846300452</v>
      </c>
      <c r="J38" s="47">
        <v>387.28386846300452</v>
      </c>
      <c r="K38" s="47">
        <v>0</v>
      </c>
      <c r="L38" s="48">
        <f t="shared" si="15"/>
        <v>387.28386846300452</v>
      </c>
      <c r="M38" s="47">
        <v>387.28386846300452</v>
      </c>
      <c r="N38" s="47">
        <v>0</v>
      </c>
      <c r="O38" s="48">
        <f t="shared" si="16"/>
        <v>387.28386846300452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142804.82305798144</v>
      </c>
      <c r="E40" s="51">
        <f>E38+E37+E32+E31+E39</f>
        <v>0</v>
      </c>
      <c r="F40" s="52">
        <f t="shared" si="13"/>
        <v>142804.82305798144</v>
      </c>
      <c r="G40" s="51">
        <f>G38+G37+G32+G31+G39</f>
        <v>136075.11971607205</v>
      </c>
      <c r="H40" s="51">
        <f>H38+H37+H32+H31+H39</f>
        <v>0</v>
      </c>
      <c r="I40" s="52">
        <f t="shared" si="17"/>
        <v>136075.11971607205</v>
      </c>
      <c r="J40" s="51">
        <f>J38+J37+J32+J31+J39</f>
        <v>131421.45877304458</v>
      </c>
      <c r="K40" s="51">
        <f>K38+K37+K32+K31+K39</f>
        <v>0</v>
      </c>
      <c r="L40" s="52">
        <f t="shared" si="15"/>
        <v>131421.45877304458</v>
      </c>
      <c r="M40" s="51">
        <f>M38+M37+M32+M31+M39</f>
        <v>126768.35955094417</v>
      </c>
      <c r="N40" s="51">
        <f>N38+N37+N32+N31+N39</f>
        <v>0</v>
      </c>
      <c r="O40" s="52">
        <f t="shared" si="16"/>
        <v>126768.35955094417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4336.8660982803622</v>
      </c>
      <c r="E42" s="22">
        <v>0</v>
      </c>
      <c r="F42" s="36">
        <f t="shared" si="13"/>
        <v>4336.8660982803622</v>
      </c>
      <c r="G42" s="22">
        <v>8171.7155420974032</v>
      </c>
      <c r="H42" s="22">
        <v>0</v>
      </c>
      <c r="I42" s="36">
        <f t="shared" si="17"/>
        <v>8171.7155420974032</v>
      </c>
      <c r="J42" s="22">
        <v>8171.7155420974032</v>
      </c>
      <c r="K42" s="22">
        <v>0</v>
      </c>
      <c r="L42" s="36">
        <f t="shared" si="15"/>
        <v>8171.7155420974032</v>
      </c>
      <c r="M42" s="22">
        <v>8171.7155420974032</v>
      </c>
      <c r="N42" s="22">
        <v>0</v>
      </c>
      <c r="O42" s="36">
        <f t="shared" si="16"/>
        <v>8171.7155420974032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-17419.919999999998</v>
      </c>
      <c r="E44" s="57">
        <v>0</v>
      </c>
      <c r="F44" s="36">
        <f t="shared" si="13"/>
        <v>-17419.919999999998</v>
      </c>
      <c r="G44" s="57">
        <v>-19198.88188681833</v>
      </c>
      <c r="H44" s="57">
        <v>0</v>
      </c>
      <c r="I44" s="36">
        <f t="shared" si="17"/>
        <v>-19198.88188681833</v>
      </c>
      <c r="J44" s="57">
        <v>0</v>
      </c>
      <c r="K44" s="57">
        <v>0</v>
      </c>
      <c r="L44" s="36">
        <f t="shared" si="15"/>
        <v>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57">
        <v>0</v>
      </c>
      <c r="F45" s="36">
        <f>E45</f>
        <v>0</v>
      </c>
      <c r="G45" s="34"/>
      <c r="H45" s="57">
        <v>0</v>
      </c>
      <c r="I45" s="36">
        <f>H45</f>
        <v>0</v>
      </c>
      <c r="J45" s="34"/>
      <c r="K45" s="57">
        <v>0</v>
      </c>
      <c r="L45" s="36">
        <f>K45</f>
        <v>0</v>
      </c>
      <c r="M45" s="34"/>
      <c r="N45" s="57">
        <v>0</v>
      </c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383224.1549702604</v>
      </c>
      <c r="E47" s="59">
        <f>E25+E30+E40+E41+E42+E43+E44+E45</f>
        <v>0</v>
      </c>
      <c r="F47" s="60">
        <f>D47+E47</f>
        <v>383224.1549702604</v>
      </c>
      <c r="G47" s="59">
        <f>G25+G30+G40+G41+G42+G43+G44+G46</f>
        <v>388047.82804861054</v>
      </c>
      <c r="H47" s="59">
        <f>H25+H30+H40+H41+H42+H43+H44+H45+H46</f>
        <v>0</v>
      </c>
      <c r="I47" s="60">
        <f>G47+H47</f>
        <v>388047.82804861054</v>
      </c>
      <c r="J47" s="59">
        <f>J25+J30+J40+J41+J42+J43+J44+J46</f>
        <v>402593.0489924014</v>
      </c>
      <c r="K47" s="59">
        <f>K25+K30+K40+K41+K42+K43+K44+K45+K46</f>
        <v>0</v>
      </c>
      <c r="L47" s="60">
        <f>J47+K47</f>
        <v>402593.0489924014</v>
      </c>
      <c r="M47" s="59">
        <f>M25+M30+M40+M41+M42+M43+M44+M46</f>
        <v>397939.949770301</v>
      </c>
      <c r="N47" s="59">
        <f>N25+N30+N40+N41+N42+N43+N44+N45+N46</f>
        <v>0</v>
      </c>
      <c r="O47" s="60">
        <f>M47+N47</f>
        <v>397939.949770301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858993.17437120201</v>
      </c>
      <c r="E49" s="65">
        <v>0</v>
      </c>
      <c r="F49" s="65">
        <f>D49+E49</f>
        <v>858993.17437120201</v>
      </c>
      <c r="G49" s="65">
        <f>G50</f>
        <v>881394.48557092226</v>
      </c>
      <c r="H49" s="65">
        <v>0</v>
      </c>
      <c r="I49" s="65">
        <f t="shared" ref="I49" si="21">G49+H49</f>
        <v>881394.48557092226</v>
      </c>
      <c r="J49" s="65">
        <f>J50</f>
        <v>914658.74651471304</v>
      </c>
      <c r="K49" s="65">
        <v>0</v>
      </c>
      <c r="L49" s="65">
        <f t="shared" ref="L49" si="22">J49+K49</f>
        <v>914658.74651471304</v>
      </c>
      <c r="M49" s="65">
        <f>M50</f>
        <v>891286.60729261267</v>
      </c>
      <c r="N49" s="65">
        <v>0</v>
      </c>
      <c r="O49" s="65">
        <f t="shared" ref="O49" si="23">M49+N49</f>
        <v>891286.60729261267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857684.73994495929</v>
      </c>
      <c r="E50" s="59">
        <f t="shared" si="24"/>
        <v>0</v>
      </c>
      <c r="F50" s="59">
        <f t="shared" si="24"/>
        <v>857684.73994495929</v>
      </c>
      <c r="G50" s="59">
        <f t="shared" si="24"/>
        <v>881394.48557092226</v>
      </c>
      <c r="H50" s="59">
        <f t="shared" si="24"/>
        <v>0</v>
      </c>
      <c r="I50" s="59">
        <f t="shared" si="24"/>
        <v>881394.48557092226</v>
      </c>
      <c r="J50" s="59">
        <f t="shared" si="24"/>
        <v>914658.74651471304</v>
      </c>
      <c r="K50" s="59">
        <f t="shared" si="24"/>
        <v>0</v>
      </c>
      <c r="L50" s="59">
        <f t="shared" si="24"/>
        <v>914658.74651471304</v>
      </c>
      <c r="M50" s="59">
        <f t="shared" si="24"/>
        <v>891286.60729261267</v>
      </c>
      <c r="N50" s="59">
        <f t="shared" si="24"/>
        <v>0</v>
      </c>
      <c r="O50" s="59">
        <f t="shared" si="24"/>
        <v>891286.60729261267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175">
        <f>D44+D20</f>
        <v>-17419.919999999998</v>
      </c>
      <c r="E51" s="68"/>
      <c r="F51" s="146"/>
      <c r="G51" s="175">
        <f>G44+G20</f>
        <v>-19198.88188681833</v>
      </c>
      <c r="H51" s="68"/>
      <c r="I51" s="146"/>
      <c r="J51" s="175">
        <f>J44+J20</f>
        <v>18719.04</v>
      </c>
      <c r="K51" s="68"/>
      <c r="L51" s="146"/>
      <c r="M51" s="175">
        <f>M44+M20</f>
        <v>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0.81559999999999999</v>
      </c>
      <c r="G53" s="72"/>
      <c r="H53" s="73"/>
      <c r="I53" s="74">
        <v>0.81559999999999999</v>
      </c>
      <c r="J53" s="72"/>
      <c r="K53" s="73"/>
      <c r="L53" s="74">
        <v>0.81559999999999999</v>
      </c>
      <c r="M53" s="72"/>
      <c r="N53" s="73"/>
      <c r="O53" s="74">
        <v>0.81559999999999999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2736.2739999999999</v>
      </c>
      <c r="G54" s="34"/>
      <c r="H54" s="76"/>
      <c r="I54" s="77">
        <v>2736.2739999999999</v>
      </c>
      <c r="J54" s="34"/>
      <c r="K54" s="76"/>
      <c r="L54" s="77">
        <v>2736.2739999999999</v>
      </c>
      <c r="M54" s="34"/>
      <c r="N54" s="76"/>
      <c r="O54" s="77">
        <v>2736.2739999999999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33.037563374161117</v>
      </c>
      <c r="G55" s="34"/>
      <c r="H55" s="76"/>
      <c r="I55" s="78">
        <v>29.993459545352543</v>
      </c>
      <c r="J55" s="34"/>
      <c r="K55" s="76"/>
      <c r="L55" s="78">
        <v>31.261949154725247</v>
      </c>
      <c r="M55" s="34"/>
      <c r="N55" s="76"/>
      <c r="O55" s="78">
        <v>32.002297353488331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28.582137651270866</v>
      </c>
      <c r="G56" s="81"/>
      <c r="H56" s="82"/>
      <c r="I56" s="78">
        <v>28.582137651270866</v>
      </c>
      <c r="J56" s="81"/>
      <c r="K56" s="82"/>
      <c r="L56" s="78">
        <v>28.582137651270866</v>
      </c>
      <c r="M56" s="81"/>
      <c r="N56" s="82"/>
      <c r="O56" s="78">
        <v>28.582137651270866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-5.1995857226898562E-2</v>
      </c>
      <c r="G60" s="90"/>
      <c r="H60" s="76"/>
      <c r="I60" s="89">
        <v>-5.1995857226898562E-2</v>
      </c>
      <c r="J60" s="34"/>
      <c r="K60" s="91"/>
      <c r="L60" s="89">
        <v>-5.1995857226898562E-2</v>
      </c>
      <c r="M60" s="34"/>
      <c r="N60" s="76"/>
      <c r="O60" s="89">
        <v>-5.1995857226898562E-2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-5.1995857226898562E-2</v>
      </c>
      <c r="G61" s="90"/>
      <c r="H61" s="76"/>
      <c r="I61" s="92">
        <v>-5.1995857226898562E-2</v>
      </c>
      <c r="J61" s="34"/>
      <c r="K61" s="76"/>
      <c r="L61" s="93">
        <v>-5.1995857226898562E-2</v>
      </c>
      <c r="M61" s="34"/>
      <c r="N61" s="76"/>
      <c r="O61" s="92">
        <v>-5.1995857226898562E-2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0.94800414277310141</v>
      </c>
      <c r="G62" s="95"/>
      <c r="H62" s="82"/>
      <c r="I62" s="94">
        <v>0.94800414277310141</v>
      </c>
      <c r="J62" s="81"/>
      <c r="K62" s="82"/>
      <c r="L62" s="94">
        <v>0.94800414277310141</v>
      </c>
      <c r="M62" s="81"/>
      <c r="N62" s="82"/>
      <c r="O62" s="94">
        <v>0.94800414277310141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857684.73994495929</v>
      </c>
      <c r="G72" s="34"/>
      <c r="H72" s="76"/>
      <c r="I72" s="108">
        <f>I50</f>
        <v>881394.48557092226</v>
      </c>
      <c r="J72" s="34"/>
      <c r="K72" s="76"/>
      <c r="L72" s="108">
        <f>L50</f>
        <v>914658.74651471304</v>
      </c>
      <c r="M72" s="34"/>
      <c r="N72" s="76"/>
      <c r="O72" s="108">
        <f>O50</f>
        <v>891286.60729261267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574854.71503027412</v>
      </c>
      <c r="G73" s="34"/>
      <c r="H73" s="76"/>
      <c r="I73" s="110">
        <f>D81</f>
        <v>474460.5849746989</v>
      </c>
      <c r="J73" s="34"/>
      <c r="K73" s="76"/>
      <c r="L73" s="110">
        <f>G81</f>
        <v>493346.65752231167</v>
      </c>
      <c r="M73" s="34"/>
      <c r="N73" s="76"/>
      <c r="O73" s="110">
        <f>J81</f>
        <v>512065.69752231165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245848.5202097258</v>
      </c>
      <c r="G74" s="34"/>
      <c r="H74" s="76"/>
      <c r="I74" s="110">
        <f>D82</f>
        <v>383224.1549702604</v>
      </c>
      <c r="J74" s="34"/>
      <c r="K74" s="76"/>
      <c r="L74" s="110">
        <f>G82</f>
        <v>388047.82804861059</v>
      </c>
      <c r="M74" s="34"/>
      <c r="N74" s="76"/>
      <c r="O74" s="110">
        <f>J82</f>
        <v>402593.0489924014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820703.23523999995</v>
      </c>
      <c r="G75" s="34"/>
      <c r="H75" s="76"/>
      <c r="I75" s="111">
        <f>SUM(I73:I74)</f>
        <v>857684.73994495929</v>
      </c>
      <c r="J75" s="34"/>
      <c r="K75" s="76"/>
      <c r="L75" s="111">
        <f>SUM(L73:L74)</f>
        <v>881394.48557092226</v>
      </c>
      <c r="M75" s="34"/>
      <c r="N75" s="76"/>
      <c r="O75" s="111">
        <f>SUM(O73:O74)</f>
        <v>914658.74651471304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1.0450607517029524</v>
      </c>
      <c r="G76" s="81"/>
      <c r="H76" s="82"/>
      <c r="I76" s="112">
        <f>I72/I75</f>
        <v>1.0276438935213941</v>
      </c>
      <c r="J76" s="81"/>
      <c r="K76" s="82"/>
      <c r="L76" s="112">
        <f>L72/L75</f>
        <v>1.0377404913331671</v>
      </c>
      <c r="M76" s="81"/>
      <c r="N76" s="82"/>
      <c r="O76" s="112">
        <f>O72/O75</f>
        <v>0.97444714839150737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857684.73994495929</v>
      </c>
      <c r="G78" s="73"/>
      <c r="H78" s="73"/>
      <c r="I78" s="115">
        <f>IF(I72&lt;=I75*I71,I72,I75*I71)</f>
        <v>881394.48557092226</v>
      </c>
      <c r="J78" s="73"/>
      <c r="K78" s="73"/>
      <c r="L78" s="115">
        <f>IF(L72&lt;=L75*L71,L72,L75*L71)</f>
        <v>914658.74651471304</v>
      </c>
      <c r="M78" s="73"/>
      <c r="N78" s="73"/>
      <c r="O78" s="115">
        <f>IF(O72&lt;=O75*O71,O72,O75*O71)</f>
        <v>891286.60729261267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</f>
        <v>474460.5849746989</v>
      </c>
      <c r="E81" s="120">
        <v>0</v>
      </c>
      <c r="F81" s="115">
        <f>D81+E81</f>
        <v>474460.5849746989</v>
      </c>
      <c r="G81" s="119">
        <f>G23</f>
        <v>493346.65752231167</v>
      </c>
      <c r="H81" s="120">
        <f>H23</f>
        <v>0</v>
      </c>
      <c r="I81" s="115">
        <f>G81+H81</f>
        <v>493346.65752231167</v>
      </c>
      <c r="J81" s="119">
        <f>J23</f>
        <v>512065.69752231165</v>
      </c>
      <c r="K81" s="120">
        <v>0</v>
      </c>
      <c r="L81" s="115">
        <f>J81+K81</f>
        <v>512065.69752231165</v>
      </c>
      <c r="M81" s="119">
        <f>M23</f>
        <v>493346.65752231167</v>
      </c>
      <c r="N81" s="120">
        <v>0</v>
      </c>
      <c r="O81" s="115">
        <f>M81+N81</f>
        <v>493346.65752231167</v>
      </c>
    </row>
    <row r="82" spans="1:52" s="14" customFormat="1" ht="20" customHeight="1" thickBot="1">
      <c r="B82" s="118" t="s">
        <v>72</v>
      </c>
      <c r="D82" s="121">
        <f>D50-D81</f>
        <v>383224.1549702604</v>
      </c>
      <c r="E82" s="122">
        <v>0</v>
      </c>
      <c r="F82" s="123">
        <f>D82+E82</f>
        <v>383224.1549702604</v>
      </c>
      <c r="G82" s="121">
        <f>G49-G81</f>
        <v>388047.82804861059</v>
      </c>
      <c r="H82" s="122">
        <f>H49-H81</f>
        <v>0</v>
      </c>
      <c r="I82" s="123">
        <f>G82+H82</f>
        <v>388047.82804861059</v>
      </c>
      <c r="J82" s="121">
        <f>J49-J81</f>
        <v>402593.0489924014</v>
      </c>
      <c r="K82" s="122">
        <v>0</v>
      </c>
      <c r="L82" s="123">
        <f>J82+K82</f>
        <v>402593.0489924014</v>
      </c>
      <c r="M82" s="121">
        <f>M49-M81</f>
        <v>397939.949770301</v>
      </c>
      <c r="N82" s="122">
        <v>0</v>
      </c>
      <c r="O82" s="123">
        <f>M82+N82</f>
        <v>397939.949770301</v>
      </c>
    </row>
    <row r="83" spans="1:52" s="124" customFormat="1" ht="17.25" customHeight="1" thickBot="1">
      <c r="B83" s="125" t="s">
        <v>73</v>
      </c>
      <c r="C83" s="14"/>
      <c r="D83" s="126">
        <f t="shared" ref="D83:O83" si="25">SUM(D81:D82)</f>
        <v>857684.73994495929</v>
      </c>
      <c r="E83" s="127">
        <f t="shared" si="25"/>
        <v>0</v>
      </c>
      <c r="F83" s="128">
        <f t="shared" si="25"/>
        <v>857684.73994495929</v>
      </c>
      <c r="G83" s="126">
        <f t="shared" si="25"/>
        <v>881394.48557092226</v>
      </c>
      <c r="H83" s="127">
        <f t="shared" si="25"/>
        <v>0</v>
      </c>
      <c r="I83" s="128">
        <f t="shared" si="25"/>
        <v>881394.48557092226</v>
      </c>
      <c r="J83" s="126">
        <f t="shared" si="25"/>
        <v>914658.74651471304</v>
      </c>
      <c r="K83" s="127">
        <f t="shared" si="25"/>
        <v>0</v>
      </c>
      <c r="L83" s="128">
        <f t="shared" si="25"/>
        <v>914658.74651471304</v>
      </c>
      <c r="M83" s="126">
        <f t="shared" si="25"/>
        <v>891286.60729261267</v>
      </c>
      <c r="N83" s="127">
        <f t="shared" si="25"/>
        <v>0</v>
      </c>
      <c r="O83" s="128">
        <f t="shared" si="25"/>
        <v>891286.60729261267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474460.5849746989</v>
      </c>
      <c r="G88" s="72"/>
      <c r="H88" s="73"/>
      <c r="I88" s="136">
        <f>I81-I85</f>
        <v>493346.65752231167</v>
      </c>
      <c r="J88" s="72"/>
      <c r="K88" s="73"/>
      <c r="L88" s="136">
        <f>L81-L85</f>
        <v>512065.69752231165</v>
      </c>
      <c r="M88" s="72"/>
      <c r="N88" s="73"/>
      <c r="O88" s="136">
        <f>O81-O85</f>
        <v>493346.65752231167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383224.1549702604</v>
      </c>
      <c r="G89" s="34"/>
      <c r="H89" s="76"/>
      <c r="I89" s="138">
        <f>I82-I86</f>
        <v>388047.82804861059</v>
      </c>
      <c r="J89" s="34"/>
      <c r="K89" s="76"/>
      <c r="L89" s="138">
        <f>L82-L86</f>
        <v>402593.0489924014</v>
      </c>
      <c r="M89" s="34"/>
      <c r="N89" s="76"/>
      <c r="O89" s="138">
        <f>O82-O86</f>
        <v>397939.949770301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857684.73994495929</v>
      </c>
      <c r="G90" s="81"/>
      <c r="H90" s="82"/>
      <c r="I90" s="139">
        <f>+I88+I89</f>
        <v>881394.48557092226</v>
      </c>
      <c r="J90" s="81"/>
      <c r="K90" s="82"/>
      <c r="L90" s="139">
        <f>+L88+L89</f>
        <v>914658.74651471304</v>
      </c>
      <c r="M90" s="81"/>
      <c r="N90" s="82"/>
      <c r="O90" s="139">
        <f>+O88+O89</f>
        <v>891286.60729261267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-93.046275631608296</v>
      </c>
      <c r="E92" s="143">
        <v>0</v>
      </c>
      <c r="F92" s="144">
        <f>D92+E92</f>
        <v>-93.046275631608296</v>
      </c>
      <c r="G92" s="142">
        <v>-4410.9395496079769</v>
      </c>
      <c r="H92" s="143">
        <v>0</v>
      </c>
      <c r="I92" s="144">
        <f>G92+H92</f>
        <v>-4410.9395496079769</v>
      </c>
      <c r="J92" s="142">
        <v>-4410.9395496079769</v>
      </c>
      <c r="K92" s="143">
        <v>0</v>
      </c>
      <c r="L92" s="144">
        <f>J92+K92</f>
        <v>-4410.9395496079769</v>
      </c>
      <c r="M92" s="142">
        <v>-4410.9395496079769</v>
      </c>
      <c r="N92" s="143">
        <v>0</v>
      </c>
      <c r="O92" s="144">
        <f>M92+N92</f>
        <v>-4410.9395496079769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908654.90920568292</v>
      </c>
      <c r="E96" s="166">
        <f>E6+E7+E8+E9+E11+E25+E30+E40+E42+E21+E45</f>
        <v>0</v>
      </c>
      <c r="F96" s="166">
        <f t="shared" ref="F96" si="26">F6+F7+F8+F9+F11+F25+F30+F40+F42</f>
        <v>908654.90920568292</v>
      </c>
      <c r="G96" s="166">
        <f t="shared" ref="G96" si="27">G6+G7+G8+G9+G11+G25+G30+G40+G42+G21+G45</f>
        <v>934110.09998593584</v>
      </c>
      <c r="H96" s="166">
        <f t="shared" ref="H96" si="28">H6+H7+H8+H9+H11+H25+H30+H40+H42</f>
        <v>0</v>
      </c>
      <c r="I96" s="166">
        <f t="shared" ref="I96" si="29">I6+I7+I8+I9+I11+I25+I30+I40+I42+I21+I45</f>
        <v>934110.09998593584</v>
      </c>
      <c r="J96" s="166">
        <f t="shared" ref="J96" si="30">J6+J7+J8+J9+J11+J25+J30+J40+J42</f>
        <v>929456.43904290849</v>
      </c>
      <c r="K96" s="166">
        <f t="shared" ref="K96" si="31">K6+K7+K8+K9+K11+K25+K30+K40+K42+K21+K45</f>
        <v>0</v>
      </c>
      <c r="L96" s="166">
        <f t="shared" ref="L96" si="32">L6+L7+L8+L9+L11+L25+L30+L40+L42</f>
        <v>929456.43904290849</v>
      </c>
      <c r="M96" s="166">
        <f t="shared" ref="M96" si="33">M6+M7+M8+M9+M11+M25+M30+M40+M42+M21+M45</f>
        <v>924803.33982080803</v>
      </c>
      <c r="N96" s="166">
        <f t="shared" ref="N96" si="34">N6+N7+N8+N9+N11+N25+N30+N40+N42</f>
        <v>0</v>
      </c>
      <c r="O96" s="166">
        <f t="shared" ref="O96" si="35">O6+O7+O8+O9+O11+O25+O30+O40+O42+O21+O45</f>
        <v>924803.33982080803</v>
      </c>
    </row>
    <row r="97" spans="4:15" s="14" customFormat="1">
      <c r="D97" s="166">
        <f>D96-D15-D19</f>
        <v>875104.65994495933</v>
      </c>
      <c r="E97" s="166">
        <f>E96-E15-E19</f>
        <v>0</v>
      </c>
      <c r="F97" s="166">
        <f t="shared" ref="F97:O97" si="36">F96-F15-F19</f>
        <v>875104.65994495933</v>
      </c>
      <c r="G97" s="166">
        <f t="shared" si="36"/>
        <v>900593.36745774047</v>
      </c>
      <c r="H97" s="166">
        <f t="shared" si="36"/>
        <v>0</v>
      </c>
      <c r="I97" s="166">
        <f t="shared" si="36"/>
        <v>900593.36745774047</v>
      </c>
      <c r="J97" s="166">
        <f t="shared" si="36"/>
        <v>895939.70651471312</v>
      </c>
      <c r="K97" s="166">
        <f t="shared" si="36"/>
        <v>0</v>
      </c>
      <c r="L97" s="166">
        <f t="shared" si="36"/>
        <v>895939.70651471312</v>
      </c>
      <c r="M97" s="166">
        <f t="shared" si="36"/>
        <v>891286.60729261267</v>
      </c>
      <c r="N97" s="166">
        <f t="shared" si="36"/>
        <v>0</v>
      </c>
      <c r="O97" s="166">
        <f t="shared" si="36"/>
        <v>891286.60729261267</v>
      </c>
    </row>
    <row r="98" spans="4:15" s="14" customFormat="1">
      <c r="D98" s="166">
        <f>D20+D44</f>
        <v>-17419.919999999998</v>
      </c>
      <c r="E98" s="166">
        <f>E20+E44</f>
        <v>0</v>
      </c>
      <c r="F98" s="166">
        <f t="shared" ref="F98:O98" si="37">F20+F44</f>
        <v>-17419.919999999998</v>
      </c>
      <c r="G98" s="166">
        <f t="shared" si="37"/>
        <v>-19198.88188681833</v>
      </c>
      <c r="H98" s="166">
        <f t="shared" si="37"/>
        <v>0</v>
      </c>
      <c r="I98" s="166">
        <f t="shared" si="37"/>
        <v>-19198.88188681833</v>
      </c>
      <c r="J98" s="166">
        <f t="shared" si="37"/>
        <v>18719.04</v>
      </c>
      <c r="K98" s="166">
        <f t="shared" si="37"/>
        <v>0</v>
      </c>
      <c r="L98" s="166">
        <f t="shared" si="37"/>
        <v>18719.04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250" priority="9" operator="containsText" text="ERRORE">
      <formula>NOT(ISERROR(SEARCH("ERRORE",F81)))</formula>
    </cfRule>
  </conditionalFormatting>
  <conditionalFormatting sqref="I83">
    <cfRule type="containsText" dxfId="249" priority="8" operator="containsText" text="ERRORE">
      <formula>NOT(ISERROR(SEARCH("ERRORE",I83)))</formula>
    </cfRule>
  </conditionalFormatting>
  <conditionalFormatting sqref="I81:I82">
    <cfRule type="containsText" dxfId="248" priority="5" operator="containsText" text="ERRORE">
      <formula>NOT(ISERROR(SEARCH("ERRORE",I81)))</formula>
    </cfRule>
  </conditionalFormatting>
  <conditionalFormatting sqref="L83">
    <cfRule type="containsText" dxfId="247" priority="4" operator="containsText" text="ERRORE">
      <formula>NOT(ISERROR(SEARCH("ERRORE",L83)))</formula>
    </cfRule>
  </conditionalFormatting>
  <conditionalFormatting sqref="L81:L82">
    <cfRule type="containsText" dxfId="246" priority="3" operator="containsText" text="ERRORE">
      <formula>NOT(ISERROR(SEARCH("ERRORE",L81)))</formula>
    </cfRule>
  </conditionalFormatting>
  <conditionalFormatting sqref="O83">
    <cfRule type="containsText" dxfId="245" priority="2" operator="containsText" text="ERRORE">
      <formula>NOT(ISERROR(SEARCH("ERRORE",O83)))</formula>
    </cfRule>
  </conditionalFormatting>
  <conditionalFormatting sqref="O81:O82">
    <cfRule type="containsText" dxfId="244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B82" zoomScale="80" zoomScaleNormal="80" zoomScalePageLayoutView="80" workbookViewId="0">
      <selection activeCell="F90" sqref="F90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83</v>
      </c>
      <c r="B1" s="2" t="str">
        <f>"       PEF 2022 - 2025"&amp;" - "&amp;A1</f>
        <v xml:space="preserve">       PEF 2022 - 2025 - Campolongo Maggiore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127</v>
      </c>
      <c r="E4" s="188"/>
      <c r="F4" s="189"/>
      <c r="G4" s="187" t="str">
        <f>D4</f>
        <v>Ambito tariffario: Campolongo Maggiore</v>
      </c>
      <c r="H4" s="188"/>
      <c r="I4" s="189"/>
      <c r="J4" s="187" t="str">
        <f>D4</f>
        <v>Ambito tariffario: Campolongo Maggiore</v>
      </c>
      <c r="K4" s="188"/>
      <c r="L4" s="189"/>
      <c r="M4" s="187" t="str">
        <f>D4</f>
        <v>Ambito tariffario: Campolongo Maggiore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126802.25047954946</v>
      </c>
      <c r="E6" s="22">
        <v>0</v>
      </c>
      <c r="F6" s="23">
        <f>D6+E6</f>
        <v>126802.25047954946</v>
      </c>
      <c r="G6" s="22">
        <v>131171.06994165125</v>
      </c>
      <c r="H6" s="22">
        <v>0</v>
      </c>
      <c r="I6" s="23">
        <f>G6+H6</f>
        <v>131171.06994165125</v>
      </c>
      <c r="J6" s="22">
        <v>131171.06994165125</v>
      </c>
      <c r="K6" s="22">
        <v>0</v>
      </c>
      <c r="L6" s="23">
        <f>J6+K6</f>
        <v>131171.06994165125</v>
      </c>
      <c r="M6" s="22">
        <v>131171.06994165125</v>
      </c>
      <c r="N6" s="22">
        <v>0</v>
      </c>
      <c r="O6" s="23">
        <f>M6+N6</f>
        <v>131171.06994165125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112591.52905947782</v>
      </c>
      <c r="E7" s="22">
        <v>0</v>
      </c>
      <c r="F7" s="23">
        <f t="shared" ref="F7:F20" si="0">D7+E7</f>
        <v>112591.52905947782</v>
      </c>
      <c r="G7" s="22">
        <v>117858.72881837455</v>
      </c>
      <c r="H7" s="22">
        <v>0</v>
      </c>
      <c r="I7" s="23">
        <f t="shared" ref="I7:I13" si="1">G7+H7</f>
        <v>117858.72881837455</v>
      </c>
      <c r="J7" s="22">
        <v>117858.72881837455</v>
      </c>
      <c r="K7" s="22">
        <v>0</v>
      </c>
      <c r="L7" s="23">
        <f t="shared" ref="L7:L12" si="2">J7+K7</f>
        <v>117858.72881837455</v>
      </c>
      <c r="M7" s="22">
        <v>117858.72881837455</v>
      </c>
      <c r="N7" s="22">
        <v>0</v>
      </c>
      <c r="O7" s="23">
        <f t="shared" ref="O7:O13" si="3">M7+N7</f>
        <v>117858.72881837455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154684.66498817329</v>
      </c>
      <c r="E8" s="22">
        <v>0</v>
      </c>
      <c r="F8" s="23">
        <f t="shared" si="0"/>
        <v>154684.66498817329</v>
      </c>
      <c r="G8" s="22">
        <v>161924.83802398521</v>
      </c>
      <c r="H8" s="22">
        <v>0</v>
      </c>
      <c r="I8" s="23">
        <f t="shared" si="1"/>
        <v>161924.83802398521</v>
      </c>
      <c r="J8" s="22">
        <v>161924.83802398521</v>
      </c>
      <c r="K8" s="22">
        <v>0</v>
      </c>
      <c r="L8" s="23">
        <f t="shared" si="2"/>
        <v>161924.83802398521</v>
      </c>
      <c r="M8" s="22">
        <v>161924.83802398521</v>
      </c>
      <c r="N8" s="22">
        <v>0</v>
      </c>
      <c r="O8" s="23">
        <f t="shared" si="3"/>
        <v>161924.83802398521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287524.30390825978</v>
      </c>
      <c r="E9" s="22">
        <v>0</v>
      </c>
      <c r="F9" s="23">
        <f t="shared" si="0"/>
        <v>287524.30390825978</v>
      </c>
      <c r="G9" s="22">
        <v>295645.08263992931</v>
      </c>
      <c r="H9" s="22">
        <v>0</v>
      </c>
      <c r="I9" s="23">
        <f t="shared" si="1"/>
        <v>295645.08263992931</v>
      </c>
      <c r="J9" s="22">
        <v>295645.08263992931</v>
      </c>
      <c r="K9" s="22">
        <v>0</v>
      </c>
      <c r="L9" s="23">
        <f t="shared" si="2"/>
        <v>295645.08263992931</v>
      </c>
      <c r="M9" s="22">
        <v>295645.08263992931</v>
      </c>
      <c r="N9" s="22">
        <v>0</v>
      </c>
      <c r="O9" s="23">
        <f t="shared" si="3"/>
        <v>295645.08263992931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3838.6242072996688</v>
      </c>
      <c r="E11" s="22">
        <v>0</v>
      </c>
      <c r="F11" s="23">
        <f t="shared" si="0"/>
        <v>3838.6242072996688</v>
      </c>
      <c r="G11" s="22">
        <v>3838.6242072996688</v>
      </c>
      <c r="H11" s="22">
        <v>0</v>
      </c>
      <c r="I11" s="23">
        <f t="shared" si="1"/>
        <v>3838.6242072996688</v>
      </c>
      <c r="J11" s="22">
        <v>3838.6242072996688</v>
      </c>
      <c r="K11" s="22">
        <v>0</v>
      </c>
      <c r="L11" s="23">
        <f t="shared" si="2"/>
        <v>3838.6242072996688</v>
      </c>
      <c r="M11" s="22">
        <v>3838.6242072996688</v>
      </c>
      <c r="N11" s="22">
        <v>0</v>
      </c>
      <c r="O11" s="23">
        <f t="shared" si="3"/>
        <v>3838.6242072996688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78728.417877542786</v>
      </c>
      <c r="E13" s="22">
        <v>0</v>
      </c>
      <c r="F13" s="23">
        <f t="shared" si="0"/>
        <v>78728.417877542786</v>
      </c>
      <c r="G13" s="22">
        <v>78649.768109433367</v>
      </c>
      <c r="H13" s="22">
        <v>0</v>
      </c>
      <c r="I13" s="23">
        <f t="shared" si="1"/>
        <v>78649.768109433367</v>
      </c>
      <c r="J13" s="22">
        <v>78649.768109433367</v>
      </c>
      <c r="K13" s="22">
        <v>0</v>
      </c>
      <c r="L13" s="23">
        <f>J13+K13</f>
        <v>78649.768109433367</v>
      </c>
      <c r="M13" s="22">
        <v>78649.768109433367</v>
      </c>
      <c r="N13" s="22">
        <v>0</v>
      </c>
      <c r="O13" s="23">
        <f t="shared" si="3"/>
        <v>78649.768109433367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47237.050726525667</v>
      </c>
      <c r="E15" s="22">
        <v>0</v>
      </c>
      <c r="F15" s="23">
        <f t="shared" si="0"/>
        <v>47237.050726525667</v>
      </c>
      <c r="G15" s="22">
        <v>47189.860865660019</v>
      </c>
      <c r="H15" s="22">
        <v>0</v>
      </c>
      <c r="I15" s="23">
        <f t="shared" ref="I15:I16" si="4">G15+H15</f>
        <v>47189.860865660019</v>
      </c>
      <c r="J15" s="22">
        <v>47189.860865660019</v>
      </c>
      <c r="K15" s="22">
        <v>0</v>
      </c>
      <c r="L15" s="23">
        <f t="shared" ref="L15:L16" si="5">J15+K15</f>
        <v>47189.860865660019</v>
      </c>
      <c r="M15" s="22">
        <v>47189.860865660019</v>
      </c>
      <c r="N15" s="22">
        <v>0</v>
      </c>
      <c r="O15" s="23">
        <f t="shared" ref="O15:O16" si="6">M15+N15</f>
        <v>47189.860865660019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624.12800501356708</v>
      </c>
      <c r="E16" s="22">
        <v>0</v>
      </c>
      <c r="F16" s="23">
        <f t="shared" si="0"/>
        <v>624.12800501356708</v>
      </c>
      <c r="G16" s="22">
        <v>623.50450051305415</v>
      </c>
      <c r="H16" s="22">
        <v>0</v>
      </c>
      <c r="I16" s="23">
        <f t="shared" si="4"/>
        <v>623.50450051305415</v>
      </c>
      <c r="J16" s="22">
        <v>623.50450051305415</v>
      </c>
      <c r="K16" s="22">
        <v>0</v>
      </c>
      <c r="L16" s="23">
        <f t="shared" si="5"/>
        <v>623.50450051305415</v>
      </c>
      <c r="M16" s="22">
        <v>623.50450051305415</v>
      </c>
      <c r="N16" s="22">
        <v>0</v>
      </c>
      <c r="O16" s="23">
        <f t="shared" si="6"/>
        <v>623.50450051305415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411.92448330895428</v>
      </c>
      <c r="E19" s="22">
        <v>0</v>
      </c>
      <c r="F19" s="23">
        <f t="shared" si="0"/>
        <v>411.92448330895428</v>
      </c>
      <c r="G19" s="22">
        <v>411.51297033861579</v>
      </c>
      <c r="H19" s="22">
        <v>0</v>
      </c>
      <c r="I19" s="23">
        <f t="shared" ref="I19:I20" si="7">G19+H19</f>
        <v>411.51297033861579</v>
      </c>
      <c r="J19" s="22">
        <v>411.51297033861579</v>
      </c>
      <c r="K19" s="22">
        <v>0</v>
      </c>
      <c r="L19" s="23">
        <f t="shared" ref="L19:L20" si="8">J19+K19</f>
        <v>411.51297033861579</v>
      </c>
      <c r="M19" s="32">
        <v>411.51297033861579</v>
      </c>
      <c r="N19" s="33">
        <v>0</v>
      </c>
      <c r="O19" s="23">
        <f t="shared" ref="O19:O20" si="9">M19+N19</f>
        <v>411.51297033861579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22">
        <v>0</v>
      </c>
      <c r="F20" s="23">
        <f t="shared" si="0"/>
        <v>0</v>
      </c>
      <c r="G20" s="22">
        <v>0</v>
      </c>
      <c r="H20" s="22">
        <v>0</v>
      </c>
      <c r="I20" s="23">
        <f t="shared" si="7"/>
        <v>0</v>
      </c>
      <c r="J20" s="22">
        <v>20962.32</v>
      </c>
      <c r="K20" s="22">
        <v>0</v>
      </c>
      <c r="L20" s="23">
        <f t="shared" si="8"/>
        <v>20962.32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v>0</v>
      </c>
      <c r="F21" s="23">
        <f>E21</f>
        <v>0</v>
      </c>
      <c r="G21" s="34"/>
      <c r="H21" s="22">
        <v>0</v>
      </c>
      <c r="I21" s="23">
        <f>H21</f>
        <v>0</v>
      </c>
      <c r="J21" s="34"/>
      <c r="K21" s="22">
        <v>0</v>
      </c>
      <c r="L21" s="23">
        <f>K21</f>
        <v>0</v>
      </c>
      <c r="M21" s="34"/>
      <c r="N21" s="22">
        <v>0</v>
      </c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>
        <v>0</v>
      </c>
      <c r="H22" s="22">
        <v>0</v>
      </c>
      <c r="I22" s="36">
        <f t="shared" ref="I22" si="10">G22+H22</f>
        <v>0</v>
      </c>
      <c r="J22" s="22">
        <v>0</v>
      </c>
      <c r="K22" s="22">
        <v>0</v>
      </c>
      <c r="L22" s="36">
        <f t="shared" ref="L22" si="11">J22+K22</f>
        <v>0</v>
      </c>
      <c r="M22" s="22">
        <v>0</v>
      </c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637792.3974329253</v>
      </c>
      <c r="E23" s="38">
        <f>E6+E7+E8+E9+E10+E11+E12-E15-E19+E20+E21</f>
        <v>0</v>
      </c>
      <c r="F23" s="38">
        <f>D23+E23</f>
        <v>637792.3974329253</v>
      </c>
      <c r="G23" s="38">
        <f>G6+G7+G8+G9+G10+G11+G12-G15-G19+G20+G22</f>
        <v>662836.96979524149</v>
      </c>
      <c r="H23" s="38">
        <f>H6+H7+H8+H9+H10+H11+H12-H15-H19+H20+H21+H22</f>
        <v>0</v>
      </c>
      <c r="I23" s="38">
        <f>G23+H23</f>
        <v>662836.96979524149</v>
      </c>
      <c r="J23" s="38">
        <f>J6+J7+J8+J9+J10+J11+J12-J15-J19+J20+J22</f>
        <v>683799.28979524144</v>
      </c>
      <c r="K23" s="38">
        <f>K6+K7+K8+K9+K10+K11+K12-K15-K19+K20+K21+K22</f>
        <v>0</v>
      </c>
      <c r="L23" s="38">
        <f>J23+K23</f>
        <v>683799.28979524144</v>
      </c>
      <c r="M23" s="38">
        <f>M6+M7+M8+M9+M10+M11+M12-M15-M19+M20+M22</f>
        <v>662836.96979524149</v>
      </c>
      <c r="N23" s="38">
        <f>N6+N7+N8+N9+N10+N11+N12-N15-N19+N20+N21+N22</f>
        <v>0</v>
      </c>
      <c r="O23" s="38">
        <f>M23+N23</f>
        <v>662836.96979524149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150392.38993707692</v>
      </c>
      <c r="E25" s="44">
        <v>0</v>
      </c>
      <c r="F25" s="45">
        <f t="shared" ref="F25:F44" si="13">D25+E25</f>
        <v>150392.38993707692</v>
      </c>
      <c r="G25" s="44">
        <v>157198.69870674005</v>
      </c>
      <c r="H25" s="44">
        <v>0</v>
      </c>
      <c r="I25" s="45">
        <f t="shared" ref="I25:I33" si="14">G25+H25</f>
        <v>157198.69870674005</v>
      </c>
      <c r="J25" s="44">
        <v>157198.69870674005</v>
      </c>
      <c r="K25" s="44">
        <v>0</v>
      </c>
      <c r="L25" s="45">
        <f t="shared" ref="L25:L44" si="15">J25+K25</f>
        <v>157198.69870674005</v>
      </c>
      <c r="M25" s="44">
        <v>157198.69870674005</v>
      </c>
      <c r="N25" s="44">
        <v>0</v>
      </c>
      <c r="O25" s="45">
        <f t="shared" ref="O25:O43" si="16">M25+N25</f>
        <v>157198.69870674005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79385.186401679865</v>
      </c>
      <c r="E26" s="22">
        <v>0</v>
      </c>
      <c r="F26" s="36">
        <f t="shared" si="13"/>
        <v>79385.186401679865</v>
      </c>
      <c r="G26" s="22">
        <v>81710.712536220773</v>
      </c>
      <c r="H26" s="22">
        <v>0</v>
      </c>
      <c r="I26" s="36">
        <f t="shared" si="14"/>
        <v>81710.712536220773</v>
      </c>
      <c r="J26" s="22">
        <v>81710.712536220773</v>
      </c>
      <c r="K26" s="22">
        <v>0</v>
      </c>
      <c r="L26" s="36">
        <f t="shared" si="15"/>
        <v>81710.712536220773</v>
      </c>
      <c r="M26" s="22">
        <v>81710.712536220773</v>
      </c>
      <c r="N26" s="22">
        <v>0</v>
      </c>
      <c r="O26" s="36">
        <f t="shared" si="16"/>
        <v>81710.712536220773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90316.401418074805</v>
      </c>
      <c r="E27" s="47">
        <v>0</v>
      </c>
      <c r="F27" s="48">
        <f t="shared" si="13"/>
        <v>90316.401418074805</v>
      </c>
      <c r="G27" s="47">
        <v>93794.159647186068</v>
      </c>
      <c r="H27" s="47">
        <v>0</v>
      </c>
      <c r="I27" s="48">
        <f t="shared" si="14"/>
        <v>93794.159647186068</v>
      </c>
      <c r="J27" s="47">
        <v>93794.159647186068</v>
      </c>
      <c r="K27" s="47">
        <v>0</v>
      </c>
      <c r="L27" s="48">
        <f t="shared" si="15"/>
        <v>93794.159647186068</v>
      </c>
      <c r="M27" s="47">
        <v>93794.159647186068</v>
      </c>
      <c r="N27" s="47">
        <v>0</v>
      </c>
      <c r="O27" s="48">
        <f t="shared" si="16"/>
        <v>93794.159647186068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18510.009716647695</v>
      </c>
      <c r="E29" s="47">
        <v>0</v>
      </c>
      <c r="F29" s="48">
        <f t="shared" si="13"/>
        <v>18510.009716647695</v>
      </c>
      <c r="G29" s="47">
        <v>18642.98855702061</v>
      </c>
      <c r="H29" s="47">
        <v>0</v>
      </c>
      <c r="I29" s="48">
        <f t="shared" si="14"/>
        <v>18642.98855702061</v>
      </c>
      <c r="J29" s="47">
        <v>18642.98855702061</v>
      </c>
      <c r="K29" s="47">
        <v>0</v>
      </c>
      <c r="L29" s="48">
        <f t="shared" si="15"/>
        <v>18642.98855702061</v>
      </c>
      <c r="M29" s="47">
        <v>18642.98855702061</v>
      </c>
      <c r="N29" s="47">
        <v>0</v>
      </c>
      <c r="O29" s="48">
        <f t="shared" si="16"/>
        <v>18642.98855702061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188211.59753640238</v>
      </c>
      <c r="E30" s="51">
        <f>+E26+E27+E28+E29</f>
        <v>0</v>
      </c>
      <c r="F30" s="52">
        <f t="shared" si="13"/>
        <v>188211.59753640238</v>
      </c>
      <c r="G30" s="51">
        <f>+G26+G27+G28+G29</f>
        <v>194147.86074042745</v>
      </c>
      <c r="H30" s="51">
        <f>+H26+H27+H28+H29</f>
        <v>0</v>
      </c>
      <c r="I30" s="52">
        <f t="shared" si="14"/>
        <v>194147.86074042745</v>
      </c>
      <c r="J30" s="51">
        <f>+J26+J27+J28+J29</f>
        <v>194147.86074042745</v>
      </c>
      <c r="K30" s="51">
        <f>+K26+K27+K28+K29</f>
        <v>0</v>
      </c>
      <c r="L30" s="52">
        <f t="shared" si="15"/>
        <v>194147.86074042745</v>
      </c>
      <c r="M30" s="51">
        <f>+M26+M27+M28+M29</f>
        <v>194147.86074042745</v>
      </c>
      <c r="N30" s="51">
        <f>+N26+N27+N28+N29</f>
        <v>0</v>
      </c>
      <c r="O30" s="52">
        <f t="shared" si="16"/>
        <v>194147.86074042745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92612.024590090077</v>
      </c>
      <c r="E31" s="53">
        <v>0</v>
      </c>
      <c r="F31" s="48">
        <f t="shared" si="13"/>
        <v>92612.024590090077</v>
      </c>
      <c r="G31" s="147">
        <f>VLOOKUP($A$1,REM_ToolEnrico!$B$5:$J$38,4,FALSE)</f>
        <v>80139.674450433202</v>
      </c>
      <c r="H31" s="53">
        <v>0</v>
      </c>
      <c r="I31" s="48">
        <f t="shared" si="14"/>
        <v>80139.674450433202</v>
      </c>
      <c r="J31" s="147">
        <f>VLOOKUP($A$1,REM_ToolEnrico!$B$5:$J$38,6,FALSE)</f>
        <v>74966.119822486711</v>
      </c>
      <c r="K31" s="53">
        <v>0</v>
      </c>
      <c r="L31" s="48">
        <f t="shared" si="15"/>
        <v>74966.119822486711</v>
      </c>
      <c r="M31" s="147">
        <f>VLOOKUP($A$1,REM_ToolEnrico!$B$5:$J$38,8,FALSE)</f>
        <v>69955.675506357933</v>
      </c>
      <c r="N31" s="53">
        <v>0</v>
      </c>
      <c r="O31" s="48">
        <f t="shared" si="16"/>
        <v>69955.675506357933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51774.144154482485</v>
      </c>
      <c r="E32" s="54">
        <f>+E33+E34+E35+E36</f>
        <v>0</v>
      </c>
      <c r="F32" s="48">
        <f t="shared" si="13"/>
        <v>51774.144154482485</v>
      </c>
      <c r="G32" s="54">
        <f>+G33+G34+G35+G36</f>
        <v>51722.421732749746</v>
      </c>
      <c r="H32" s="54">
        <f>+H33+H34+H35+H36</f>
        <v>0</v>
      </c>
      <c r="I32" s="48">
        <f t="shared" si="14"/>
        <v>51722.421732749746</v>
      </c>
      <c r="J32" s="54">
        <f>+J33+J34+J35+J36</f>
        <v>51722.421732749746</v>
      </c>
      <c r="K32" s="54">
        <f>+K33+K34+K35+K36</f>
        <v>0</v>
      </c>
      <c r="L32" s="48">
        <f t="shared" si="15"/>
        <v>51722.421732749746</v>
      </c>
      <c r="M32" s="54">
        <f>+M33+M34+M35+M36</f>
        <v>51722.421732749746</v>
      </c>
      <c r="N32" s="54">
        <f>+N33+N34+N35+N36</f>
        <v>0</v>
      </c>
      <c r="O32" s="48">
        <f t="shared" si="16"/>
        <v>51722.421732749746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51774.144154482485</v>
      </c>
      <c r="E34" s="47">
        <v>0</v>
      </c>
      <c r="F34" s="48">
        <f>D34+E34</f>
        <v>51774.144154482485</v>
      </c>
      <c r="G34" s="47">
        <v>51722.421732749746</v>
      </c>
      <c r="H34" s="47">
        <v>0</v>
      </c>
      <c r="I34" s="48">
        <f>G34+H34</f>
        <v>51722.421732749746</v>
      </c>
      <c r="J34" s="47">
        <v>51722.421732749746</v>
      </c>
      <c r="K34" s="47">
        <v>0</v>
      </c>
      <c r="L34" s="48">
        <f t="shared" si="15"/>
        <v>51722.421732749746</v>
      </c>
      <c r="M34" s="47">
        <v>51722.421732749746</v>
      </c>
      <c r="N34" s="47">
        <v>0</v>
      </c>
      <c r="O34" s="48">
        <f t="shared" si="16"/>
        <v>51722.421732749746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42872.471997621928</v>
      </c>
      <c r="E37" s="47">
        <v>0</v>
      </c>
      <c r="F37" s="48">
        <f t="shared" si="13"/>
        <v>42872.471997621928</v>
      </c>
      <c r="G37" s="147">
        <f>VLOOKUP($A$1,REM_ToolEnrico!$B$5:$J$38,5,FALSE)</f>
        <v>42658.840616056208</v>
      </c>
      <c r="H37" s="47">
        <v>0</v>
      </c>
      <c r="I37" s="48">
        <f t="shared" si="17"/>
        <v>42658.840616056208</v>
      </c>
      <c r="J37" s="147">
        <f>VLOOKUP($A$1,REM_ToolEnrico!$B$5:$J$38,7,FALSE)</f>
        <v>40486.44857306093</v>
      </c>
      <c r="K37" s="47">
        <v>0</v>
      </c>
      <c r="L37" s="48">
        <f t="shared" si="15"/>
        <v>40486.44857306093</v>
      </c>
      <c r="M37" s="147">
        <f>VLOOKUP($A$1,REM_ToolEnrico!$B$5:$J$38,9,FALSE)</f>
        <v>38158.914353629189</v>
      </c>
      <c r="N37" s="47">
        <v>0</v>
      </c>
      <c r="O37" s="48">
        <f t="shared" si="16"/>
        <v>38158.914353629189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560.97967057732001</v>
      </c>
      <c r="E38" s="47">
        <v>0</v>
      </c>
      <c r="F38" s="48">
        <f t="shared" si="13"/>
        <v>560.97967057732001</v>
      </c>
      <c r="G38" s="47">
        <v>562.1016299184746</v>
      </c>
      <c r="H38" s="47">
        <v>0</v>
      </c>
      <c r="I38" s="48">
        <f t="shared" si="17"/>
        <v>562.1016299184746</v>
      </c>
      <c r="J38" s="47">
        <v>562.1016299184746</v>
      </c>
      <c r="K38" s="47">
        <v>0</v>
      </c>
      <c r="L38" s="48">
        <f t="shared" si="15"/>
        <v>562.1016299184746</v>
      </c>
      <c r="M38" s="47">
        <v>562.1016299184746</v>
      </c>
      <c r="N38" s="47">
        <v>0</v>
      </c>
      <c r="O38" s="48">
        <f t="shared" si="16"/>
        <v>562.1016299184746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187819.62041277182</v>
      </c>
      <c r="E40" s="51">
        <f>E38+E37+E32+E31+E39</f>
        <v>0</v>
      </c>
      <c r="F40" s="52">
        <f t="shared" si="13"/>
        <v>187819.62041277182</v>
      </c>
      <c r="G40" s="51">
        <f>G38+G37+G32+G31+G39</f>
        <v>175083.03842915763</v>
      </c>
      <c r="H40" s="51">
        <f>H38+H37+H32+H31+H39</f>
        <v>0</v>
      </c>
      <c r="I40" s="52">
        <f t="shared" si="17"/>
        <v>175083.03842915763</v>
      </c>
      <c r="J40" s="51">
        <f>J38+J37+J32+J31+J39</f>
        <v>167737.09175821586</v>
      </c>
      <c r="K40" s="51">
        <f>K38+K37+K32+K31+K39</f>
        <v>0</v>
      </c>
      <c r="L40" s="52">
        <f t="shared" si="15"/>
        <v>167737.09175821586</v>
      </c>
      <c r="M40" s="51">
        <f>M38+M37+M32+M31+M39</f>
        <v>160399.11322265535</v>
      </c>
      <c r="N40" s="51">
        <f>N38+N37+N32+N31+N39</f>
        <v>0</v>
      </c>
      <c r="O40" s="52">
        <f t="shared" si="16"/>
        <v>160399.11322265535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6366.9980185077175</v>
      </c>
      <c r="E42" s="22">
        <v>0</v>
      </c>
      <c r="F42" s="36">
        <f t="shared" si="13"/>
        <v>6366.9980185077175</v>
      </c>
      <c r="G42" s="22">
        <v>11996.980189213897</v>
      </c>
      <c r="H42" s="22">
        <v>0</v>
      </c>
      <c r="I42" s="36">
        <f t="shared" si="17"/>
        <v>11996.980189213897</v>
      </c>
      <c r="J42" s="22">
        <v>11996.980189213897</v>
      </c>
      <c r="K42" s="22">
        <v>0</v>
      </c>
      <c r="L42" s="36">
        <f t="shared" si="15"/>
        <v>11996.980189213897</v>
      </c>
      <c r="M42" s="22">
        <v>11996.980189213897</v>
      </c>
      <c r="N42" s="22">
        <v>0</v>
      </c>
      <c r="O42" s="36">
        <f t="shared" si="16"/>
        <v>11996.980189213897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-48851.988724631839</v>
      </c>
      <c r="E44" s="57">
        <v>0</v>
      </c>
      <c r="F44" s="36">
        <f t="shared" si="13"/>
        <v>-48851.988724631839</v>
      </c>
      <c r="G44" s="57">
        <v>-27635.68206960721</v>
      </c>
      <c r="H44" s="57">
        <v>0</v>
      </c>
      <c r="I44" s="36">
        <f t="shared" si="17"/>
        <v>-27635.68206960721</v>
      </c>
      <c r="J44" s="57">
        <v>0</v>
      </c>
      <c r="K44" s="57">
        <v>0</v>
      </c>
      <c r="L44" s="36">
        <f t="shared" si="15"/>
        <v>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57">
        <v>0</v>
      </c>
      <c r="F45" s="36">
        <f>E45</f>
        <v>0</v>
      </c>
      <c r="G45" s="34"/>
      <c r="H45" s="57">
        <v>0</v>
      </c>
      <c r="I45" s="36">
        <f>H45</f>
        <v>0</v>
      </c>
      <c r="J45" s="34"/>
      <c r="K45" s="57">
        <v>0</v>
      </c>
      <c r="L45" s="36">
        <f>K45</f>
        <v>0</v>
      </c>
      <c r="M45" s="34"/>
      <c r="N45" s="57">
        <v>0</v>
      </c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483938.61718012695</v>
      </c>
      <c r="E47" s="59">
        <f>E25+E30+E40+E41+E42+E43+E44+E45</f>
        <v>0</v>
      </c>
      <c r="F47" s="60">
        <f>D47+E47</f>
        <v>483938.61718012695</v>
      </c>
      <c r="G47" s="59">
        <f>G25+G30+G40+G41+G42+G43+G44+G46</f>
        <v>510790.89599593182</v>
      </c>
      <c r="H47" s="59">
        <f>H25+H30+H40+H41+H42+H43+H44+H45+H46</f>
        <v>0</v>
      </c>
      <c r="I47" s="60">
        <f>G47+H47</f>
        <v>510790.89599593182</v>
      </c>
      <c r="J47" s="59">
        <f>J25+J30+J40+J41+J42+J43+J44+J46</f>
        <v>531080.63139459724</v>
      </c>
      <c r="K47" s="59">
        <f>K25+K30+K40+K41+K42+K43+K44+K45+K46</f>
        <v>0</v>
      </c>
      <c r="L47" s="60">
        <f>J47+K47</f>
        <v>531080.63139459724</v>
      </c>
      <c r="M47" s="59">
        <f>M25+M30+M40+M41+M42+M43+M44+M46</f>
        <v>523742.65285903669</v>
      </c>
      <c r="N47" s="59">
        <f>N25+N30+N40+N41+N42+N43+N44+N45+N46</f>
        <v>0</v>
      </c>
      <c r="O47" s="60">
        <f>M47+N47</f>
        <v>523742.65285903669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1123159.0548111906</v>
      </c>
      <c r="E49" s="65">
        <v>0</v>
      </c>
      <c r="F49" s="65">
        <f>D49+E49</f>
        <v>1123159.0548111906</v>
      </c>
      <c r="G49" s="65">
        <f>G50</f>
        <v>1173627.8657911732</v>
      </c>
      <c r="H49" s="65">
        <v>0</v>
      </c>
      <c r="I49" s="65">
        <f t="shared" ref="I49" si="21">G49+H49</f>
        <v>1173627.8657911732</v>
      </c>
      <c r="J49" s="65">
        <f>J50</f>
        <v>1214879.9211898386</v>
      </c>
      <c r="K49" s="65">
        <v>0</v>
      </c>
      <c r="L49" s="65">
        <f t="shared" ref="L49" si="22">J49+K49</f>
        <v>1214879.9211898386</v>
      </c>
      <c r="M49" s="65">
        <f>M50</f>
        <v>1186579.6226542783</v>
      </c>
      <c r="N49" s="65">
        <v>0</v>
      </c>
      <c r="O49" s="65">
        <f t="shared" ref="O49" si="23">M49+N49</f>
        <v>1186579.6226542783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1121731.0146130524</v>
      </c>
      <c r="E50" s="59">
        <f t="shared" si="24"/>
        <v>0</v>
      </c>
      <c r="F50" s="59">
        <f t="shared" si="24"/>
        <v>1121731.0146130524</v>
      </c>
      <c r="G50" s="59">
        <f t="shared" si="24"/>
        <v>1173627.8657911732</v>
      </c>
      <c r="H50" s="59">
        <f t="shared" si="24"/>
        <v>0</v>
      </c>
      <c r="I50" s="59">
        <f t="shared" si="24"/>
        <v>1173627.8657911732</v>
      </c>
      <c r="J50" s="59">
        <f t="shared" si="24"/>
        <v>1214879.9211898386</v>
      </c>
      <c r="K50" s="59">
        <f t="shared" si="24"/>
        <v>0</v>
      </c>
      <c r="L50" s="59">
        <f t="shared" si="24"/>
        <v>1214879.9211898386</v>
      </c>
      <c r="M50" s="59">
        <f t="shared" si="24"/>
        <v>1186579.6226542783</v>
      </c>
      <c r="N50" s="59">
        <f t="shared" si="24"/>
        <v>0</v>
      </c>
      <c r="O50" s="59">
        <f t="shared" si="24"/>
        <v>1186579.6226542783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-48851.988724631839</v>
      </c>
      <c r="E51" s="68"/>
      <c r="F51" s="146"/>
      <c r="G51" s="68">
        <f>G44+G20</f>
        <v>-27635.68206960721</v>
      </c>
      <c r="H51" s="68"/>
      <c r="I51" s="146"/>
      <c r="J51" s="68">
        <f>J44+J20</f>
        <v>20962.32</v>
      </c>
      <c r="K51" s="68"/>
      <c r="L51" s="146"/>
      <c r="M51" s="68">
        <f>M44+M20</f>
        <v>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0.82569999999999988</v>
      </c>
      <c r="G53" s="72"/>
      <c r="H53" s="73"/>
      <c r="I53" s="74">
        <v>0.82569999999999988</v>
      </c>
      <c r="J53" s="72"/>
      <c r="K53" s="73"/>
      <c r="L53" s="74">
        <v>0.82569999999999988</v>
      </c>
      <c r="M53" s="72"/>
      <c r="N53" s="73"/>
      <c r="O53" s="74">
        <v>0.82569999999999988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3489.4029999999998</v>
      </c>
      <c r="G54" s="34"/>
      <c r="H54" s="76"/>
      <c r="I54" s="77">
        <v>3489.4029999999998</v>
      </c>
      <c r="J54" s="34"/>
      <c r="K54" s="76"/>
      <c r="L54" s="77">
        <v>3489.4029999999998</v>
      </c>
      <c r="M54" s="34"/>
      <c r="N54" s="76"/>
      <c r="O54" s="77">
        <v>3489.4029999999998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33.644016583602514</v>
      </c>
      <c r="G55" s="34"/>
      <c r="H55" s="76"/>
      <c r="I55" s="78">
        <v>31.361024820793514</v>
      </c>
      <c r="J55" s="34"/>
      <c r="K55" s="76"/>
      <c r="L55" s="78">
        <v>32.043449071817889</v>
      </c>
      <c r="M55" s="34"/>
      <c r="N55" s="76"/>
      <c r="O55" s="78">
        <v>33.443746926314489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27.628559034678901</v>
      </c>
      <c r="G56" s="81"/>
      <c r="H56" s="82"/>
      <c r="I56" s="78">
        <v>27.628559034678901</v>
      </c>
      <c r="J56" s="81"/>
      <c r="K56" s="82"/>
      <c r="L56" s="78">
        <v>27.628559034678901</v>
      </c>
      <c r="M56" s="81"/>
      <c r="N56" s="82"/>
      <c r="O56" s="78">
        <v>27.628559034678901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-5.3855738699161576E-2</v>
      </c>
      <c r="G60" s="90"/>
      <c r="H60" s="76"/>
      <c r="I60" s="89">
        <v>-5.3855738699161576E-2</v>
      </c>
      <c r="J60" s="34"/>
      <c r="K60" s="91"/>
      <c r="L60" s="89">
        <v>-5.3855738699161576E-2</v>
      </c>
      <c r="M60" s="34"/>
      <c r="N60" s="76"/>
      <c r="O60" s="89">
        <v>-5.3855738699161576E-2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-5.3855738699161576E-2</v>
      </c>
      <c r="G61" s="90"/>
      <c r="H61" s="76"/>
      <c r="I61" s="92">
        <v>-5.3855738699161576E-2</v>
      </c>
      <c r="J61" s="34"/>
      <c r="K61" s="76"/>
      <c r="L61" s="93">
        <v>-5.3855738699161576E-2</v>
      </c>
      <c r="M61" s="34"/>
      <c r="N61" s="76"/>
      <c r="O61" s="92">
        <v>-5.3855738699161576E-2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0.9461442613008384</v>
      </c>
      <c r="G62" s="95"/>
      <c r="H62" s="82"/>
      <c r="I62" s="94">
        <v>0.9461442613008384</v>
      </c>
      <c r="J62" s="81"/>
      <c r="K62" s="82"/>
      <c r="L62" s="94">
        <v>0.9461442613008384</v>
      </c>
      <c r="M62" s="81"/>
      <c r="N62" s="82"/>
      <c r="O62" s="94">
        <v>0.9461442613008384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1121731.0146130524</v>
      </c>
      <c r="G72" s="34"/>
      <c r="H72" s="76"/>
      <c r="I72" s="108">
        <f>I50</f>
        <v>1173627.8657911732</v>
      </c>
      <c r="J72" s="34"/>
      <c r="K72" s="76"/>
      <c r="L72" s="108">
        <f>L50</f>
        <v>1214879.9211898386</v>
      </c>
      <c r="M72" s="34"/>
      <c r="N72" s="76"/>
      <c r="O72" s="108">
        <f>O50</f>
        <v>1186579.6226542783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768698.6467278481</v>
      </c>
      <c r="G73" s="34"/>
      <c r="H73" s="76"/>
      <c r="I73" s="110">
        <f>D81</f>
        <v>637792.3974329253</v>
      </c>
      <c r="J73" s="34"/>
      <c r="K73" s="76"/>
      <c r="L73" s="110">
        <f>G81</f>
        <v>662836.96979524149</v>
      </c>
      <c r="M73" s="34"/>
      <c r="N73" s="76"/>
      <c r="O73" s="110">
        <f>J81</f>
        <v>683799.28979524144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325613.89419966546</v>
      </c>
      <c r="G74" s="34"/>
      <c r="H74" s="76"/>
      <c r="I74" s="110">
        <f>D82</f>
        <v>483938.61718012707</v>
      </c>
      <c r="J74" s="34"/>
      <c r="K74" s="76"/>
      <c r="L74" s="110">
        <f>G82</f>
        <v>510790.8959959317</v>
      </c>
      <c r="M74" s="34"/>
      <c r="N74" s="76"/>
      <c r="O74" s="110">
        <f>J82</f>
        <v>531080.63139459712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1094312.5409275135</v>
      </c>
      <c r="G75" s="34"/>
      <c r="H75" s="76"/>
      <c r="I75" s="111">
        <f>SUM(I73:I74)</f>
        <v>1121731.0146130524</v>
      </c>
      <c r="J75" s="34"/>
      <c r="K75" s="76"/>
      <c r="L75" s="111">
        <f>SUM(L73:L74)</f>
        <v>1173627.8657911732</v>
      </c>
      <c r="M75" s="34"/>
      <c r="N75" s="76"/>
      <c r="O75" s="111">
        <f>SUM(O73:O74)</f>
        <v>1214879.9211898386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1.025055432209796</v>
      </c>
      <c r="G76" s="81"/>
      <c r="H76" s="82"/>
      <c r="I76" s="112">
        <f>I72/I75</f>
        <v>1.0462649694998609</v>
      </c>
      <c r="J76" s="81"/>
      <c r="K76" s="82"/>
      <c r="L76" s="112">
        <f>L72/L75</f>
        <v>1.0351491785437936</v>
      </c>
      <c r="M76" s="81"/>
      <c r="N76" s="82"/>
      <c r="O76" s="112">
        <f>O72/O75</f>
        <v>0.9767052709967885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1121731.0146130524</v>
      </c>
      <c r="G78" s="73"/>
      <c r="H78" s="73"/>
      <c r="I78" s="115">
        <f>IF(I72&lt;=I75*I71,I72,I75*I71)</f>
        <v>1173627.8657911732</v>
      </c>
      <c r="J78" s="73"/>
      <c r="K78" s="73"/>
      <c r="L78" s="115">
        <f>IF(L72&lt;=L75*L71,L72,L75*L71)</f>
        <v>1214879.9211898386</v>
      </c>
      <c r="M78" s="73"/>
      <c r="N78" s="73"/>
      <c r="O78" s="115">
        <f>IF(O72&lt;=O75*O71,O72,O75*O71)</f>
        <v>1186579.6226542783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</f>
        <v>637792.3974329253</v>
      </c>
      <c r="E81" s="120">
        <v>0</v>
      </c>
      <c r="F81" s="115">
        <f>D81+E81</f>
        <v>637792.3974329253</v>
      </c>
      <c r="G81" s="119">
        <f>G23</f>
        <v>662836.96979524149</v>
      </c>
      <c r="H81" s="120">
        <f>H23</f>
        <v>0</v>
      </c>
      <c r="I81" s="115">
        <f>G81+H81</f>
        <v>662836.96979524149</v>
      </c>
      <c r="J81" s="119">
        <f>J23</f>
        <v>683799.28979524144</v>
      </c>
      <c r="K81" s="120">
        <v>0</v>
      </c>
      <c r="L81" s="115">
        <f>J81+K81</f>
        <v>683799.28979524144</v>
      </c>
      <c r="M81" s="119">
        <f>M23</f>
        <v>662836.96979524149</v>
      </c>
      <c r="N81" s="120">
        <v>0</v>
      </c>
      <c r="O81" s="115">
        <f>M81+N81</f>
        <v>662836.96979524149</v>
      </c>
    </row>
    <row r="82" spans="1:52" s="14" customFormat="1" ht="20" customHeight="1" thickBot="1">
      <c r="B82" s="118" t="s">
        <v>72</v>
      </c>
      <c r="D82" s="121">
        <f>D50-D81-F79</f>
        <v>483938.61718012707</v>
      </c>
      <c r="E82" s="122">
        <v>0</v>
      </c>
      <c r="F82" s="123">
        <f>D82+E82</f>
        <v>483938.61718012707</v>
      </c>
      <c r="G82" s="121">
        <f>G49-G81</f>
        <v>510790.8959959317</v>
      </c>
      <c r="H82" s="122">
        <f>H49-H81</f>
        <v>0</v>
      </c>
      <c r="I82" s="123">
        <f>G82+H82</f>
        <v>510790.8959959317</v>
      </c>
      <c r="J82" s="121">
        <f>J49-J81</f>
        <v>531080.63139459712</v>
      </c>
      <c r="K82" s="122">
        <v>0</v>
      </c>
      <c r="L82" s="123">
        <f>J82+K82</f>
        <v>531080.63139459712</v>
      </c>
      <c r="M82" s="121">
        <f>M49-M81</f>
        <v>523742.65285903681</v>
      </c>
      <c r="N82" s="122">
        <v>0</v>
      </c>
      <c r="O82" s="123">
        <f>M82+N82</f>
        <v>523742.65285903681</v>
      </c>
    </row>
    <row r="83" spans="1:52" s="124" customFormat="1" ht="17.25" customHeight="1" thickBot="1">
      <c r="B83" s="125" t="s">
        <v>73</v>
      </c>
      <c r="C83" s="14"/>
      <c r="D83" s="126">
        <f>SUM(D81:D82)</f>
        <v>1121731.0146130524</v>
      </c>
      <c r="E83" s="127">
        <f t="shared" ref="E83:O83" si="25">SUM(E81:E82)</f>
        <v>0</v>
      </c>
      <c r="F83" s="128">
        <f t="shared" si="25"/>
        <v>1121731.0146130524</v>
      </c>
      <c r="G83" s="126">
        <f t="shared" si="25"/>
        <v>1173627.8657911732</v>
      </c>
      <c r="H83" s="127">
        <f t="shared" si="25"/>
        <v>0</v>
      </c>
      <c r="I83" s="128">
        <f t="shared" si="25"/>
        <v>1173627.8657911732</v>
      </c>
      <c r="J83" s="126">
        <f t="shared" si="25"/>
        <v>1214879.9211898386</v>
      </c>
      <c r="K83" s="127">
        <f t="shared" si="25"/>
        <v>0</v>
      </c>
      <c r="L83" s="128">
        <f t="shared" si="25"/>
        <v>1214879.9211898386</v>
      </c>
      <c r="M83" s="126">
        <f t="shared" si="25"/>
        <v>1186579.6226542783</v>
      </c>
      <c r="N83" s="127">
        <f t="shared" si="25"/>
        <v>0</v>
      </c>
      <c r="O83" s="128">
        <f t="shared" si="25"/>
        <v>1186579.6226542783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637792.3974329253</v>
      </c>
      <c r="G88" s="72"/>
      <c r="H88" s="73"/>
      <c r="I88" s="136">
        <f>I81-I85</f>
        <v>662836.96979524149</v>
      </c>
      <c r="J88" s="72"/>
      <c r="K88" s="73"/>
      <c r="L88" s="136">
        <f>L81-L85</f>
        <v>683799.28979524144</v>
      </c>
      <c r="M88" s="72"/>
      <c r="N88" s="73"/>
      <c r="O88" s="136">
        <f>O81-O85</f>
        <v>662836.96979524149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483938.61718012707</v>
      </c>
      <c r="G89" s="34"/>
      <c r="H89" s="76"/>
      <c r="I89" s="138">
        <f>I82-I86</f>
        <v>510790.8959959317</v>
      </c>
      <c r="J89" s="34"/>
      <c r="K89" s="76"/>
      <c r="L89" s="138">
        <f>L82-L86</f>
        <v>531080.63139459712</v>
      </c>
      <c r="M89" s="34"/>
      <c r="N89" s="76"/>
      <c r="O89" s="138">
        <f>O82-O86</f>
        <v>523742.65285903681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1121731.0146130524</v>
      </c>
      <c r="G90" s="81"/>
      <c r="H90" s="82"/>
      <c r="I90" s="139">
        <f>+I88+I89</f>
        <v>1173627.8657911732</v>
      </c>
      <c r="J90" s="81"/>
      <c r="K90" s="82"/>
      <c r="L90" s="139">
        <f>+L88+L89</f>
        <v>1214879.9211898386</v>
      </c>
      <c r="M90" s="81"/>
      <c r="N90" s="82"/>
      <c r="O90" s="139">
        <f>+O88+O89</f>
        <v>1186579.6226542783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-104.97297167685429</v>
      </c>
      <c r="E92" s="143">
        <v>0</v>
      </c>
      <c r="F92" s="144">
        <f>D92+E92</f>
        <v>-104.97297167685429</v>
      </c>
      <c r="G92" s="142">
        <v>-4976.3349394289107</v>
      </c>
      <c r="H92" s="143">
        <v>0</v>
      </c>
      <c r="I92" s="144">
        <f>G92+H92</f>
        <v>-4976.3349394289107</v>
      </c>
      <c r="J92" s="142">
        <v>-4976.3349394289107</v>
      </c>
      <c r="K92" s="143">
        <v>0</v>
      </c>
      <c r="L92" s="144">
        <f>J92+K92</f>
        <v>-4976.3349394289107</v>
      </c>
      <c r="M92" s="142">
        <v>-4976.3349394289107</v>
      </c>
      <c r="N92" s="143">
        <v>0</v>
      </c>
      <c r="O92" s="144">
        <f>M92+N92</f>
        <v>-4976.3349394289107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1218231.9785475188</v>
      </c>
      <c r="E96" s="166">
        <f>E6+E7+E8+E9+E11+E25+E30+E40+E42+E21+E45</f>
        <v>0</v>
      </c>
      <c r="F96" s="166">
        <f t="shared" ref="F96" si="26">F6+F7+F8+F9+F11+F25+F30+F40+F42</f>
        <v>1218231.9785475188</v>
      </c>
      <c r="G96" s="166">
        <f t="shared" ref="G96" si="27">G6+G7+G8+G9+G11+G25+G30+G40+G42+G21+G45</f>
        <v>1248864.9216967791</v>
      </c>
      <c r="H96" s="166">
        <f t="shared" ref="H96" si="28">H6+H7+H8+H9+H11+H25+H30+H40+H42</f>
        <v>0</v>
      </c>
      <c r="I96" s="166">
        <f t="shared" ref="I96" si="29">I6+I7+I8+I9+I11+I25+I30+I40+I42+I21+I45</f>
        <v>1248864.9216967791</v>
      </c>
      <c r="J96" s="166">
        <f t="shared" ref="J96" si="30">J6+J7+J8+J9+J11+J25+J30+J40+J42</f>
        <v>1241518.9750258373</v>
      </c>
      <c r="K96" s="166">
        <f t="shared" ref="K96" si="31">K6+K7+K8+K9+K11+K25+K30+K40+K42+K21+K45</f>
        <v>0</v>
      </c>
      <c r="L96" s="166">
        <f t="shared" ref="L96" si="32">L6+L7+L8+L9+L11+L25+L30+L40+L42</f>
        <v>1241518.9750258373</v>
      </c>
      <c r="M96" s="166">
        <f t="shared" ref="M96" si="33">M6+M7+M8+M9+M11+M25+M30+M40+M42+M21+M45</f>
        <v>1234180.9964902769</v>
      </c>
      <c r="N96" s="166">
        <f t="shared" ref="N96" si="34">N6+N7+N8+N9+N11+N25+N30+N40+N42</f>
        <v>0</v>
      </c>
      <c r="O96" s="166">
        <f t="shared" ref="O96" si="35">O6+O7+O8+O9+O11+O25+O30+O40+O42+O21+O45</f>
        <v>1234180.9964902769</v>
      </c>
    </row>
    <row r="97" spans="4:15" s="14" customFormat="1">
      <c r="D97" s="166">
        <f>D96-D15-D19</f>
        <v>1170583.0033376841</v>
      </c>
      <c r="E97" s="166">
        <f>E96-E15-E19</f>
        <v>0</v>
      </c>
      <c r="F97" s="166">
        <f t="shared" ref="F97:O97" si="36">F96-F15-F19</f>
        <v>1170583.0033376841</v>
      </c>
      <c r="G97" s="166">
        <f t="shared" si="36"/>
        <v>1201263.5478607805</v>
      </c>
      <c r="H97" s="166">
        <f t="shared" si="36"/>
        <v>0</v>
      </c>
      <c r="I97" s="166">
        <f t="shared" si="36"/>
        <v>1201263.5478607805</v>
      </c>
      <c r="J97" s="166">
        <f t="shared" si="36"/>
        <v>1193917.6011898387</v>
      </c>
      <c r="K97" s="166">
        <f t="shared" si="36"/>
        <v>0</v>
      </c>
      <c r="L97" s="166">
        <f t="shared" si="36"/>
        <v>1193917.6011898387</v>
      </c>
      <c r="M97" s="166">
        <f t="shared" si="36"/>
        <v>1186579.6226542783</v>
      </c>
      <c r="N97" s="166">
        <f t="shared" si="36"/>
        <v>0</v>
      </c>
      <c r="O97" s="166">
        <f t="shared" si="36"/>
        <v>1186579.6226542783</v>
      </c>
    </row>
    <row r="98" spans="4:15" s="14" customFormat="1">
      <c r="D98" s="166">
        <f>D20+D44</f>
        <v>-48851.988724631839</v>
      </c>
      <c r="E98" s="166">
        <f>E20+E44</f>
        <v>0</v>
      </c>
      <c r="F98" s="166">
        <f t="shared" ref="F98:O98" si="37">F20+F44</f>
        <v>-48851.988724631839</v>
      </c>
      <c r="G98" s="166">
        <f t="shared" si="37"/>
        <v>-27635.68206960721</v>
      </c>
      <c r="H98" s="166">
        <f t="shared" si="37"/>
        <v>0</v>
      </c>
      <c r="I98" s="166">
        <f t="shared" si="37"/>
        <v>-27635.68206960721</v>
      </c>
      <c r="J98" s="166">
        <f t="shared" si="37"/>
        <v>20962.32</v>
      </c>
      <c r="K98" s="166">
        <f t="shared" si="37"/>
        <v>0</v>
      </c>
      <c r="L98" s="166">
        <f t="shared" si="37"/>
        <v>20962.32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243" priority="7" operator="containsText" text="ERRORE">
      <formula>NOT(ISERROR(SEARCH("ERRORE",F81)))</formula>
    </cfRule>
  </conditionalFormatting>
  <conditionalFormatting sqref="I83">
    <cfRule type="containsText" dxfId="242" priority="6" operator="containsText" text="ERRORE">
      <formula>NOT(ISERROR(SEARCH("ERRORE",I83)))</formula>
    </cfRule>
  </conditionalFormatting>
  <conditionalFormatting sqref="I81:I82">
    <cfRule type="containsText" dxfId="241" priority="5" operator="containsText" text="ERRORE">
      <formula>NOT(ISERROR(SEARCH("ERRORE",I81)))</formula>
    </cfRule>
  </conditionalFormatting>
  <conditionalFormatting sqref="L83">
    <cfRule type="containsText" dxfId="240" priority="4" operator="containsText" text="ERRORE">
      <formula>NOT(ISERROR(SEARCH("ERRORE",L83)))</formula>
    </cfRule>
  </conditionalFormatting>
  <conditionalFormatting sqref="L81:L82">
    <cfRule type="containsText" dxfId="239" priority="3" operator="containsText" text="ERRORE">
      <formula>NOT(ISERROR(SEARCH("ERRORE",L81)))</formula>
    </cfRule>
  </conditionalFormatting>
  <conditionalFormatting sqref="O83">
    <cfRule type="containsText" dxfId="238" priority="2" operator="containsText" text="ERRORE">
      <formula>NOT(ISERROR(SEARCH("ERRORE",O83)))</formula>
    </cfRule>
  </conditionalFormatting>
  <conditionalFormatting sqref="O81:O82">
    <cfRule type="containsText" dxfId="237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B16" zoomScale="70" zoomScaleNormal="70" zoomScalePageLayoutView="70" workbookViewId="0">
      <selection activeCell="B5" sqref="B5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84</v>
      </c>
      <c r="B1" s="2" t="str">
        <f>"       PEF 2022 - 2025"&amp;" - "&amp;A1</f>
        <v xml:space="preserve">       PEF 2022 - 2025 - Camponogara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126</v>
      </c>
      <c r="E4" s="188"/>
      <c r="F4" s="189"/>
      <c r="G4" s="187" t="str">
        <f>D4</f>
        <v>Ambito tariffario: Camponogara</v>
      </c>
      <c r="H4" s="188"/>
      <c r="I4" s="189"/>
      <c r="J4" s="187" t="str">
        <f>D4</f>
        <v>Ambito tariffario: Camponogara</v>
      </c>
      <c r="K4" s="188"/>
      <c r="L4" s="189"/>
      <c r="M4" s="187" t="str">
        <f>D4</f>
        <v>Ambito tariffario: Camponogara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167161.73423447585</v>
      </c>
      <c r="E6" s="22">
        <v>0</v>
      </c>
      <c r="F6" s="23">
        <f>D6+E6</f>
        <v>167161.73423447585</v>
      </c>
      <c r="G6" s="22">
        <v>172921.09130487774</v>
      </c>
      <c r="H6" s="22">
        <v>0</v>
      </c>
      <c r="I6" s="23">
        <f>G6+H6</f>
        <v>172921.09130487774</v>
      </c>
      <c r="J6" s="22">
        <v>172921.09130487774</v>
      </c>
      <c r="K6" s="22">
        <v>0</v>
      </c>
      <c r="L6" s="23">
        <f>J6+K6</f>
        <v>172921.09130487774</v>
      </c>
      <c r="M6" s="22">
        <v>172921.09130487774</v>
      </c>
      <c r="N6" s="22">
        <v>0</v>
      </c>
      <c r="O6" s="23">
        <f>M6+N6</f>
        <v>172921.09130487774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175540.64835934737</v>
      </c>
      <c r="E7" s="22">
        <v>0</v>
      </c>
      <c r="F7" s="23">
        <f t="shared" ref="F7:F20" si="0">D7+E7</f>
        <v>175540.64835934737</v>
      </c>
      <c r="G7" s="22">
        <v>183752.70186318154</v>
      </c>
      <c r="H7" s="22">
        <v>0</v>
      </c>
      <c r="I7" s="23">
        <f t="shared" ref="I7:I13" si="1">G7+H7</f>
        <v>183752.70186318154</v>
      </c>
      <c r="J7" s="22">
        <v>183752.70186318154</v>
      </c>
      <c r="K7" s="22">
        <v>0</v>
      </c>
      <c r="L7" s="23">
        <f t="shared" ref="L7:L12" si="2">J7+K7</f>
        <v>183752.70186318154</v>
      </c>
      <c r="M7" s="22">
        <v>183752.70186318154</v>
      </c>
      <c r="N7" s="22">
        <v>0</v>
      </c>
      <c r="O7" s="23">
        <f t="shared" ref="O7:O13" si="3">M7+N7</f>
        <v>183752.70186318154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197715.77207095994</v>
      </c>
      <c r="E8" s="22">
        <v>0</v>
      </c>
      <c r="F8" s="23">
        <f t="shared" si="0"/>
        <v>197715.77207095994</v>
      </c>
      <c r="G8" s="22">
        <v>206970.05982994591</v>
      </c>
      <c r="H8" s="22">
        <v>0</v>
      </c>
      <c r="I8" s="23">
        <f t="shared" si="1"/>
        <v>206970.05982994591</v>
      </c>
      <c r="J8" s="22">
        <v>206970.05982994591</v>
      </c>
      <c r="K8" s="22">
        <v>0</v>
      </c>
      <c r="L8" s="23">
        <f t="shared" si="2"/>
        <v>206970.05982994591</v>
      </c>
      <c r="M8" s="22">
        <v>206970.05982994591</v>
      </c>
      <c r="N8" s="22">
        <v>0</v>
      </c>
      <c r="O8" s="23">
        <f t="shared" si="3"/>
        <v>206970.05982994591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379039.49728097877</v>
      </c>
      <c r="E9" s="22">
        <v>0</v>
      </c>
      <c r="F9" s="23">
        <f t="shared" si="0"/>
        <v>379039.49728097877</v>
      </c>
      <c r="G9" s="22">
        <v>389745.01276659913</v>
      </c>
      <c r="H9" s="22">
        <v>0</v>
      </c>
      <c r="I9" s="23">
        <f t="shared" si="1"/>
        <v>389745.01276659913</v>
      </c>
      <c r="J9" s="22">
        <v>389745.01276659913</v>
      </c>
      <c r="K9" s="22">
        <v>0</v>
      </c>
      <c r="L9" s="23">
        <f t="shared" si="2"/>
        <v>389745.01276659913</v>
      </c>
      <c r="M9" s="22">
        <v>389745.01276659913</v>
      </c>
      <c r="N9" s="22">
        <v>0</v>
      </c>
      <c r="O9" s="23">
        <f t="shared" si="3"/>
        <v>389745.01276659913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4748.4456247905782</v>
      </c>
      <c r="E11" s="22">
        <v>0</v>
      </c>
      <c r="F11" s="23">
        <f t="shared" si="0"/>
        <v>4748.4456247905782</v>
      </c>
      <c r="G11" s="22">
        <v>4748.4456247905782</v>
      </c>
      <c r="H11" s="22">
        <v>0</v>
      </c>
      <c r="I11" s="23">
        <f t="shared" si="1"/>
        <v>4748.4456247905782</v>
      </c>
      <c r="J11" s="22">
        <v>4748.4456247905782</v>
      </c>
      <c r="K11" s="22">
        <v>0</v>
      </c>
      <c r="L11" s="23">
        <f t="shared" si="2"/>
        <v>4748.4456247905782</v>
      </c>
      <c r="M11" s="22">
        <v>4748.4456247905782</v>
      </c>
      <c r="N11" s="22">
        <v>0</v>
      </c>
      <c r="O11" s="23">
        <f t="shared" si="3"/>
        <v>4748.4456247905782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102447.58399383802</v>
      </c>
      <c r="E13" s="22">
        <v>0</v>
      </c>
      <c r="F13" s="23">
        <f t="shared" si="0"/>
        <v>102447.58399383802</v>
      </c>
      <c r="G13" s="22">
        <v>102345.23875508294</v>
      </c>
      <c r="H13" s="22">
        <v>0</v>
      </c>
      <c r="I13" s="23">
        <f t="shared" si="1"/>
        <v>102345.23875508294</v>
      </c>
      <c r="J13" s="22">
        <v>102345.23875508294</v>
      </c>
      <c r="K13" s="22">
        <v>0</v>
      </c>
      <c r="L13" s="23">
        <f>J13+K13</f>
        <v>102345.23875508294</v>
      </c>
      <c r="M13" s="22">
        <v>102345.23875508294</v>
      </c>
      <c r="N13" s="22">
        <v>0</v>
      </c>
      <c r="O13" s="23">
        <f t="shared" si="3"/>
        <v>102345.23875508294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176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61468.55039630281</v>
      </c>
      <c r="E15" s="22">
        <v>0</v>
      </c>
      <c r="F15" s="23">
        <f t="shared" si="0"/>
        <v>61468.55039630281</v>
      </c>
      <c r="G15" s="22">
        <v>61407.143253049762</v>
      </c>
      <c r="H15" s="22">
        <v>0</v>
      </c>
      <c r="I15" s="23">
        <f t="shared" ref="I15:I16" si="4">G15+H15</f>
        <v>61407.143253049762</v>
      </c>
      <c r="J15" s="22">
        <v>61407.143253049762</v>
      </c>
      <c r="K15" s="22">
        <v>0</v>
      </c>
      <c r="L15" s="23">
        <f t="shared" ref="L15:L16" si="5">J15+K15</f>
        <v>61407.143253049762</v>
      </c>
      <c r="M15" s="22">
        <v>61407.143253049762</v>
      </c>
      <c r="N15" s="22">
        <v>0</v>
      </c>
      <c r="O15" s="23">
        <f t="shared" ref="O15:O16" si="6">M15+N15</f>
        <v>61407.143253049762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772.06076537009153</v>
      </c>
      <c r="E16" s="22">
        <v>0</v>
      </c>
      <c r="F16" s="23">
        <f t="shared" si="0"/>
        <v>772.06076537009153</v>
      </c>
      <c r="G16" s="22">
        <v>771.28947589419749</v>
      </c>
      <c r="H16" s="22">
        <v>0</v>
      </c>
      <c r="I16" s="23">
        <f t="shared" si="4"/>
        <v>771.28947589419749</v>
      </c>
      <c r="J16" s="22">
        <v>771.28947589419749</v>
      </c>
      <c r="K16" s="22">
        <v>0</v>
      </c>
      <c r="L16" s="23">
        <f t="shared" si="5"/>
        <v>771.28947589419749</v>
      </c>
      <c r="M16" s="22">
        <v>771.28947589419749</v>
      </c>
      <c r="N16" s="22">
        <v>0</v>
      </c>
      <c r="O16" s="23">
        <f t="shared" si="6"/>
        <v>771.28947589419749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509.56010514426043</v>
      </c>
      <c r="E19" s="22">
        <v>0</v>
      </c>
      <c r="F19" s="23">
        <f t="shared" si="0"/>
        <v>509.56010514426043</v>
      </c>
      <c r="G19" s="22">
        <v>509.0510540901704</v>
      </c>
      <c r="H19" s="22">
        <v>0</v>
      </c>
      <c r="I19" s="23">
        <f t="shared" ref="I19:I20" si="7">G19+H19</f>
        <v>509.0510540901704</v>
      </c>
      <c r="J19" s="22">
        <v>509.0510540901704</v>
      </c>
      <c r="K19" s="22">
        <v>0</v>
      </c>
      <c r="L19" s="23">
        <f t="shared" ref="L19:L20" si="8">J19+K19</f>
        <v>509.0510540901704</v>
      </c>
      <c r="M19" s="32">
        <v>509.0510540901704</v>
      </c>
      <c r="N19" s="33">
        <v>0</v>
      </c>
      <c r="O19" s="23">
        <f t="shared" ref="O19:O20" si="9">M19+N19</f>
        <v>509.0510540901704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29384.245218605603</v>
      </c>
      <c r="E20" s="22">
        <v>0</v>
      </c>
      <c r="F20" s="23">
        <f t="shared" si="0"/>
        <v>29384.245218605603</v>
      </c>
      <c r="G20" s="22">
        <v>0</v>
      </c>
      <c r="H20" s="22">
        <v>0</v>
      </c>
      <c r="I20" s="23">
        <f t="shared" si="7"/>
        <v>0</v>
      </c>
      <c r="J20" s="22">
        <v>35636.760000000009</v>
      </c>
      <c r="K20" s="22">
        <v>0</v>
      </c>
      <c r="L20" s="23">
        <f t="shared" si="8"/>
        <v>35636.760000000009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v>0</v>
      </c>
      <c r="F21" s="23">
        <f>E21</f>
        <v>0</v>
      </c>
      <c r="G21" s="34"/>
      <c r="H21" s="22">
        <v>0</v>
      </c>
      <c r="I21" s="23">
        <f>H21</f>
        <v>0</v>
      </c>
      <c r="J21" s="34"/>
      <c r="K21" s="22">
        <v>0</v>
      </c>
      <c r="L21" s="23">
        <f>K21</f>
        <v>0</v>
      </c>
      <c r="M21" s="34"/>
      <c r="N21" s="22">
        <v>0</v>
      </c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>
        <f>F79</f>
        <v>28828.837031573756</v>
      </c>
      <c r="H22" s="22">
        <v>0</v>
      </c>
      <c r="I22" s="36">
        <f t="shared" ref="I22" si="10">G22+H22</f>
        <v>28828.837031573756</v>
      </c>
      <c r="J22" s="22">
        <f>I79</f>
        <v>0</v>
      </c>
      <c r="K22" s="22">
        <v>0</v>
      </c>
      <c r="L22" s="36">
        <f t="shared" ref="L22" si="11">J22+K22</f>
        <v>0</v>
      </c>
      <c r="M22" s="22">
        <f>L79</f>
        <v>0</v>
      </c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891612.232287711</v>
      </c>
      <c r="E23" s="38">
        <f>E6+E7+E8+E9+E10+E11+E12-E15-E19+E20+E21</f>
        <v>0</v>
      </c>
      <c r="F23" s="38">
        <f>D23+E23</f>
        <v>891612.232287711</v>
      </c>
      <c r="G23" s="38">
        <f>G6+G7+G8+G9+G10+G11+G12-G15-G19+G20+G22</f>
        <v>925049.95411382883</v>
      </c>
      <c r="H23" s="38">
        <f>H6+H7+H8+H9+H10+H11+H12-H15-H19+H20+H21+H22</f>
        <v>0</v>
      </c>
      <c r="I23" s="38">
        <f>G23+H23</f>
        <v>925049.95411382883</v>
      </c>
      <c r="J23" s="38">
        <f>J6+J7+J8+J9+J10+J11+J12-J15-J19+J20+J22</f>
        <v>931857.87708225509</v>
      </c>
      <c r="K23" s="38">
        <f>K6+K7+K8+K9+K10+K11+K12-K15-K19+K20+K21+K22</f>
        <v>0</v>
      </c>
      <c r="L23" s="38">
        <f>J23+K23</f>
        <v>931857.87708225509</v>
      </c>
      <c r="M23" s="38">
        <f>M6+M7+M8+M9+M10+M11+M12-M15-M19+M20+M22</f>
        <v>896221.11708225508</v>
      </c>
      <c r="N23" s="38">
        <f>N6+N7+N8+N9+N10+N11+N12-N15-N19+N20+N21+N22</f>
        <v>0</v>
      </c>
      <c r="O23" s="38">
        <f>M23+N23</f>
        <v>896221.11708225508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198260.30391790118</v>
      </c>
      <c r="E25" s="44">
        <v>0</v>
      </c>
      <c r="F25" s="45">
        <f t="shared" ref="F25:F44" si="13">D25+E25</f>
        <v>198260.30391790118</v>
      </c>
      <c r="G25" s="44">
        <v>207232.97099099628</v>
      </c>
      <c r="H25" s="44">
        <v>0</v>
      </c>
      <c r="I25" s="45">
        <f t="shared" ref="I25:I33" si="14">G25+H25</f>
        <v>207232.97099099628</v>
      </c>
      <c r="J25" s="44">
        <v>207232.97099099628</v>
      </c>
      <c r="K25" s="44">
        <v>0</v>
      </c>
      <c r="L25" s="45">
        <f t="shared" ref="L25:L44" si="15">J25+K25</f>
        <v>207232.97099099628</v>
      </c>
      <c r="M25" s="44">
        <v>207232.97099099628</v>
      </c>
      <c r="N25" s="44">
        <v>0</v>
      </c>
      <c r="O25" s="45">
        <f t="shared" ref="O25:O43" si="16">M25+N25</f>
        <v>207232.97099099628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91532.58324905952</v>
      </c>
      <c r="E26" s="22">
        <v>0</v>
      </c>
      <c r="F26" s="36">
        <f t="shared" si="13"/>
        <v>91532.58324905952</v>
      </c>
      <c r="G26" s="22">
        <v>94213.95774921721</v>
      </c>
      <c r="H26" s="22">
        <v>0</v>
      </c>
      <c r="I26" s="36">
        <f t="shared" si="14"/>
        <v>94213.95774921721</v>
      </c>
      <c r="J26" s="22">
        <v>94213.95774921721</v>
      </c>
      <c r="K26" s="22">
        <v>0</v>
      </c>
      <c r="L26" s="36">
        <f t="shared" si="15"/>
        <v>94213.95774921721</v>
      </c>
      <c r="M26" s="22">
        <v>94213.95774921721</v>
      </c>
      <c r="N26" s="22">
        <v>0</v>
      </c>
      <c r="O26" s="36">
        <f t="shared" si="16"/>
        <v>94213.95774921721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136274.56714018964</v>
      </c>
      <c r="E27" s="47">
        <v>0</v>
      </c>
      <c r="F27" s="48">
        <f t="shared" si="13"/>
        <v>136274.56714018964</v>
      </c>
      <c r="G27" s="47">
        <v>141522.00824556034</v>
      </c>
      <c r="H27" s="47">
        <v>0</v>
      </c>
      <c r="I27" s="48">
        <f t="shared" si="14"/>
        <v>141522.00824556034</v>
      </c>
      <c r="J27" s="47">
        <v>141522.00824556034</v>
      </c>
      <c r="K27" s="47">
        <v>0</v>
      </c>
      <c r="L27" s="48">
        <f t="shared" si="15"/>
        <v>141522.00824556034</v>
      </c>
      <c r="M27" s="47">
        <v>141522.00824556034</v>
      </c>
      <c r="N27" s="47">
        <v>0</v>
      </c>
      <c r="O27" s="48">
        <f t="shared" si="16"/>
        <v>141522.00824556034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22262.340291552868</v>
      </c>
      <c r="E29" s="47">
        <v>0</v>
      </c>
      <c r="F29" s="48">
        <f t="shared" si="13"/>
        <v>22262.340291552868</v>
      </c>
      <c r="G29" s="47">
        <v>22422.276468857799</v>
      </c>
      <c r="H29" s="47">
        <v>0</v>
      </c>
      <c r="I29" s="48">
        <f t="shared" si="14"/>
        <v>22422.276468857799</v>
      </c>
      <c r="J29" s="47">
        <v>22422.276468857799</v>
      </c>
      <c r="K29" s="47">
        <v>0</v>
      </c>
      <c r="L29" s="48">
        <f t="shared" si="15"/>
        <v>22422.276468857799</v>
      </c>
      <c r="M29" s="47">
        <v>22422.276468857799</v>
      </c>
      <c r="N29" s="47">
        <v>0</v>
      </c>
      <c r="O29" s="48">
        <f t="shared" si="16"/>
        <v>22422.276468857799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250069.490680802</v>
      </c>
      <c r="E30" s="51">
        <f>+E26+E27+E28+E29</f>
        <v>0</v>
      </c>
      <c r="F30" s="52">
        <f t="shared" si="13"/>
        <v>250069.490680802</v>
      </c>
      <c r="G30" s="51">
        <f>+G26+G27+G28+G29</f>
        <v>258158.24246363537</v>
      </c>
      <c r="H30" s="51">
        <f>+H26+H27+H28+H29</f>
        <v>0</v>
      </c>
      <c r="I30" s="52">
        <f t="shared" si="14"/>
        <v>258158.24246363537</v>
      </c>
      <c r="J30" s="51">
        <f>+J26+J27+J28+J29</f>
        <v>258158.24246363537</v>
      </c>
      <c r="K30" s="51">
        <f>+K26+K27+K28+K29</f>
        <v>0</v>
      </c>
      <c r="L30" s="52">
        <f t="shared" si="15"/>
        <v>258158.24246363537</v>
      </c>
      <c r="M30" s="51">
        <f>+M26+M27+M28+M29</f>
        <v>258158.24246363537</v>
      </c>
      <c r="N30" s="51">
        <f>+N26+N27+N28+N29</f>
        <v>0</v>
      </c>
      <c r="O30" s="52">
        <f t="shared" si="16"/>
        <v>258158.24246363537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VLOOKUP($A$1,[2]REM_ToolEnrico!$B$5:$J$38,2,FALSE)</f>
        <v>115633.25917694085</v>
      </c>
      <c r="E31" s="53">
        <v>0</v>
      </c>
      <c r="F31" s="48">
        <f t="shared" si="13"/>
        <v>115633.25917694085</v>
      </c>
      <c r="G31" s="147">
        <f>VLOOKUP($A$1,[2]REM_ToolEnrico!$B$5:$J$38,4,FALSE)</f>
        <v>96704.278930299537</v>
      </c>
      <c r="H31" s="53">
        <v>0</v>
      </c>
      <c r="I31" s="48">
        <f t="shared" si="14"/>
        <v>96704.278930299537</v>
      </c>
      <c r="J31" s="147">
        <f>VLOOKUP($A$1,[2]REM_ToolEnrico!$B$5:$J$38,6,FALSE)</f>
        <v>93991.663266588424</v>
      </c>
      <c r="K31" s="53">
        <v>0</v>
      </c>
      <c r="L31" s="48">
        <f t="shared" si="15"/>
        <v>93991.663266588424</v>
      </c>
      <c r="M31" s="147">
        <f>VLOOKUP($A$1,[2]REM_ToolEnrico!$B$5:$J$38,8,FALSE)</f>
        <v>89033.33381279507</v>
      </c>
      <c r="N31" s="53">
        <v>0</v>
      </c>
      <c r="O31" s="48">
        <f t="shared" si="16"/>
        <v>89033.33381279507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60124.985954232667</v>
      </c>
      <c r="E32" s="54">
        <f>+E33+E34+E35+E36</f>
        <v>0</v>
      </c>
      <c r="F32" s="48">
        <f t="shared" si="13"/>
        <v>60124.985954232667</v>
      </c>
      <c r="G32" s="54">
        <f>+G33+G34+G35+G36</f>
        <v>60064.921033199476</v>
      </c>
      <c r="H32" s="54">
        <f>+H33+H34+H35+H36</f>
        <v>0</v>
      </c>
      <c r="I32" s="48">
        <f t="shared" si="14"/>
        <v>60064.921033199476</v>
      </c>
      <c r="J32" s="54">
        <f>+J33+J34+J35+J36</f>
        <v>60064.921033199476</v>
      </c>
      <c r="K32" s="54">
        <f>+K33+K34+K35+K36</f>
        <v>0</v>
      </c>
      <c r="L32" s="48">
        <f t="shared" si="15"/>
        <v>60064.921033199476</v>
      </c>
      <c r="M32" s="54">
        <f>+M33+M34+M35+M36</f>
        <v>60064.921033199476</v>
      </c>
      <c r="N32" s="54">
        <f>+N33+N34+N35+N36</f>
        <v>0</v>
      </c>
      <c r="O32" s="48">
        <f t="shared" si="16"/>
        <v>60064.921033199476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60124.985954232667</v>
      </c>
      <c r="E34" s="47">
        <v>0</v>
      </c>
      <c r="F34" s="48">
        <f>D34+E34</f>
        <v>60124.985954232667</v>
      </c>
      <c r="G34" s="47">
        <v>60064.921033199476</v>
      </c>
      <c r="H34" s="47">
        <v>0</v>
      </c>
      <c r="I34" s="48">
        <f>G34+H34</f>
        <v>60064.921033199476</v>
      </c>
      <c r="J34" s="47">
        <v>60064.921033199476</v>
      </c>
      <c r="K34" s="47">
        <v>0</v>
      </c>
      <c r="L34" s="48">
        <f t="shared" si="15"/>
        <v>60064.921033199476</v>
      </c>
      <c r="M34" s="47">
        <v>60064.921033199476</v>
      </c>
      <c r="N34" s="47">
        <v>0</v>
      </c>
      <c r="O34" s="48">
        <f t="shared" si="16"/>
        <v>60064.921033199476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VLOOKUP($A$1,[2]REM_ToolEnrico!$B$5:$J$38,3,FALSE)-VLOOKUP($A$1,[2]REM_ToolEnrico_detterreni!$B$5:$C$38,2,FALSE)</f>
        <v>57275.542984575499</v>
      </c>
      <c r="E37" s="47">
        <v>0</v>
      </c>
      <c r="F37" s="48">
        <f t="shared" si="13"/>
        <v>57275.542984575499</v>
      </c>
      <c r="G37" s="147">
        <f>VLOOKUP($A$1,[2]REM_ToolEnrico!$B$5:$J$38,5,FALSE)</f>
        <v>56962.650907990159</v>
      </c>
      <c r="H37" s="47">
        <v>0</v>
      </c>
      <c r="I37" s="48">
        <f t="shared" si="17"/>
        <v>56962.650907990159</v>
      </c>
      <c r="J37" s="147">
        <f>VLOOKUP($A$1,[2]REM_ToolEnrico!$B$5:$J$38,7,FALSE)</f>
        <v>54422.267270897246</v>
      </c>
      <c r="K37" s="47">
        <v>0</v>
      </c>
      <c r="L37" s="48">
        <f t="shared" si="15"/>
        <v>54422.267270897246</v>
      </c>
      <c r="M37" s="147">
        <f>VLOOKUP($A$1,[2]REM_ToolEnrico!$B$5:$J$38,9,FALSE)</f>
        <v>51457.142931839568</v>
      </c>
      <c r="N37" s="47">
        <v>0</v>
      </c>
      <c r="O37" s="48">
        <f t="shared" si="16"/>
        <v>51457.142931839568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698.28293281693982</v>
      </c>
      <c r="E38" s="47">
        <v>0</v>
      </c>
      <c r="F38" s="48">
        <f t="shared" si="13"/>
        <v>698.28293281693982</v>
      </c>
      <c r="G38" s="47">
        <v>699.67949868257369</v>
      </c>
      <c r="H38" s="47">
        <v>0</v>
      </c>
      <c r="I38" s="48">
        <f t="shared" si="17"/>
        <v>699.67949868257369</v>
      </c>
      <c r="J38" s="47">
        <v>699.67949868257369</v>
      </c>
      <c r="K38" s="47">
        <v>0</v>
      </c>
      <c r="L38" s="48">
        <f t="shared" si="15"/>
        <v>699.67949868257369</v>
      </c>
      <c r="M38" s="47">
        <v>699.67949868257369</v>
      </c>
      <c r="N38" s="47">
        <v>0</v>
      </c>
      <c r="O38" s="48">
        <f t="shared" si="16"/>
        <v>699.67949868257369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233732.07104856597</v>
      </c>
      <c r="E40" s="51">
        <f>E38+E37+E32+E31+E39</f>
        <v>0</v>
      </c>
      <c r="F40" s="52">
        <f t="shared" si="13"/>
        <v>233732.07104856597</v>
      </c>
      <c r="G40" s="51">
        <f>G38+G37+G32+G31+G39</f>
        <v>214431.53037017176</v>
      </c>
      <c r="H40" s="51">
        <f>H38+H37+H32+H31+H39</f>
        <v>0</v>
      </c>
      <c r="I40" s="52">
        <f t="shared" si="17"/>
        <v>214431.53037017176</v>
      </c>
      <c r="J40" s="51">
        <f>J38+J37+J32+J31+J39</f>
        <v>209178.53106936772</v>
      </c>
      <c r="K40" s="51">
        <f>K38+K37+K32+K31+K39</f>
        <v>0</v>
      </c>
      <c r="L40" s="52">
        <f t="shared" si="15"/>
        <v>209178.53106936772</v>
      </c>
      <c r="M40" s="51">
        <f>M38+M37+M32+M31+M39</f>
        <v>201255.07727651671</v>
      </c>
      <c r="N40" s="51">
        <f>N38+N37+N32+N31+N39</f>
        <v>0</v>
      </c>
      <c r="O40" s="52">
        <f t="shared" si="16"/>
        <v>201255.07727651671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7876.0884763193062</v>
      </c>
      <c r="E42" s="22">
        <v>0</v>
      </c>
      <c r="F42" s="36">
        <f t="shared" si="13"/>
        <v>7876.0884763193062</v>
      </c>
      <c r="G42" s="22">
        <v>14840.475392678818</v>
      </c>
      <c r="H42" s="22">
        <v>0</v>
      </c>
      <c r="I42" s="36">
        <f t="shared" si="17"/>
        <v>14840.475392678818</v>
      </c>
      <c r="J42" s="22">
        <v>14840.475392678818</v>
      </c>
      <c r="K42" s="22">
        <v>0</v>
      </c>
      <c r="L42" s="36">
        <f t="shared" si="15"/>
        <v>14840.475392678818</v>
      </c>
      <c r="M42" s="22">
        <v>14840.475392678818</v>
      </c>
      <c r="N42" s="22">
        <v>0</v>
      </c>
      <c r="O42" s="36">
        <f t="shared" si="16"/>
        <v>14840.475392678818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0</v>
      </c>
      <c r="F44" s="36">
        <f t="shared" si="13"/>
        <v>0</v>
      </c>
      <c r="G44" s="57">
        <v>-22822.830722479295</v>
      </c>
      <c r="H44" s="57">
        <v>0</v>
      </c>
      <c r="I44" s="36">
        <f t="shared" si="17"/>
        <v>-22822.830722479295</v>
      </c>
      <c r="J44" s="57">
        <v>0</v>
      </c>
      <c r="K44" s="57">
        <v>0</v>
      </c>
      <c r="L44" s="36">
        <f t="shared" si="15"/>
        <v>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57">
        <v>0</v>
      </c>
      <c r="F45" s="36">
        <f>E45</f>
        <v>0</v>
      </c>
      <c r="G45" s="34"/>
      <c r="H45" s="57">
        <v>0</v>
      </c>
      <c r="I45" s="36">
        <f>H45</f>
        <v>0</v>
      </c>
      <c r="J45" s="34"/>
      <c r="K45" s="57">
        <v>0</v>
      </c>
      <c r="L45" s="36">
        <f>K45</f>
        <v>0</v>
      </c>
      <c r="M45" s="34"/>
      <c r="N45" s="57">
        <v>0</v>
      </c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689937.95412358851</v>
      </c>
      <c r="E47" s="59">
        <f>E25+E30+E40+E41+E42+E43+E44+E45</f>
        <v>0</v>
      </c>
      <c r="F47" s="60">
        <f>D47+E47</f>
        <v>689937.95412358851</v>
      </c>
      <c r="G47" s="59">
        <f>G25+G30+G40+G41+G42+G43+G44+G46</f>
        <v>671840.38849500299</v>
      </c>
      <c r="H47" s="59">
        <f>H25+H30+H40+H41+H42+H43+H44+H45+H46</f>
        <v>0</v>
      </c>
      <c r="I47" s="60">
        <f>G47+H47</f>
        <v>671840.38849500299</v>
      </c>
      <c r="J47" s="59">
        <f>J25+J30+J40+J41+J42+J43+J44+J46</f>
        <v>689410.21991667815</v>
      </c>
      <c r="K47" s="59">
        <f>K25+K30+K40+K41+K42+K43+K44+K45+K46</f>
        <v>0</v>
      </c>
      <c r="L47" s="60">
        <f>J47+K47</f>
        <v>689410.21991667815</v>
      </c>
      <c r="M47" s="59">
        <f>M25+M30+M40+M41+M42+M43+M44+M46</f>
        <v>681486.7661238272</v>
      </c>
      <c r="N47" s="59">
        <f>N25+N30+N40+N41+N42+N43+N44+N45+N46</f>
        <v>0</v>
      </c>
      <c r="O47" s="60">
        <f>M47+N47</f>
        <v>681486.7661238272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D50+VLOOKUP($A$1,[2]REM_ToolEnrico_detterreni!$B$5:$C$38,2,FALSE)</f>
        <v>1583344.0941989832</v>
      </c>
      <c r="E49" s="65">
        <v>0</v>
      </c>
      <c r="F49" s="65">
        <f>D49+E49</f>
        <v>1583344.0941989832</v>
      </c>
      <c r="G49" s="65">
        <f>G50</f>
        <v>1596890.3426088318</v>
      </c>
      <c r="H49" s="65">
        <v>0</v>
      </c>
      <c r="I49" s="65">
        <f t="shared" ref="I49" si="21">G49+H49</f>
        <v>1596890.3426088318</v>
      </c>
      <c r="J49" s="65">
        <f>J50</f>
        <v>1621268.0969989332</v>
      </c>
      <c r="K49" s="65">
        <v>0</v>
      </c>
      <c r="L49" s="65">
        <f t="shared" ref="L49" si="22">J49+K49</f>
        <v>1621268.0969989332</v>
      </c>
      <c r="M49" s="65">
        <f>M50</f>
        <v>1577707.8832060823</v>
      </c>
      <c r="N49" s="65">
        <v>0</v>
      </c>
      <c r="O49" s="65">
        <f t="shared" ref="O49" si="23">M49+N49</f>
        <v>1577707.8832060823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1581550.1864112995</v>
      </c>
      <c r="E50" s="59">
        <f t="shared" si="24"/>
        <v>0</v>
      </c>
      <c r="F50" s="59">
        <f t="shared" si="24"/>
        <v>1581550.1864112995</v>
      </c>
      <c r="G50" s="59">
        <f>+G23+G47</f>
        <v>1596890.3426088318</v>
      </c>
      <c r="H50" s="59">
        <f t="shared" si="24"/>
        <v>0</v>
      </c>
      <c r="I50" s="59">
        <f t="shared" si="24"/>
        <v>1596890.3426088318</v>
      </c>
      <c r="J50" s="59">
        <f t="shared" si="24"/>
        <v>1621268.0969989332</v>
      </c>
      <c r="K50" s="59">
        <f t="shared" si="24"/>
        <v>0</v>
      </c>
      <c r="L50" s="59">
        <f t="shared" si="24"/>
        <v>1621268.0969989332</v>
      </c>
      <c r="M50" s="59">
        <f t="shared" si="24"/>
        <v>1577707.8832060823</v>
      </c>
      <c r="N50" s="59">
        <f t="shared" si="24"/>
        <v>0</v>
      </c>
      <c r="O50" s="59">
        <f t="shared" si="24"/>
        <v>1577707.8832060823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29384.245218605603</v>
      </c>
      <c r="E51" s="68"/>
      <c r="F51" s="146"/>
      <c r="G51" s="68">
        <f>G44+G20</f>
        <v>-22822.830722479295</v>
      </c>
      <c r="H51" s="68"/>
      <c r="I51" s="146"/>
      <c r="J51" s="68">
        <f>J44+J20</f>
        <v>35636.760000000009</v>
      </c>
      <c r="K51" s="68"/>
      <c r="L51" s="146"/>
      <c r="M51" s="68">
        <f>M44+M20</f>
        <v>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0.79979999999999996</v>
      </c>
      <c r="G53" s="72"/>
      <c r="H53" s="73"/>
      <c r="I53" s="74">
        <v>0.79979999999999996</v>
      </c>
      <c r="J53" s="72"/>
      <c r="K53" s="73"/>
      <c r="L53" s="74">
        <v>0.79979999999999996</v>
      </c>
      <c r="M53" s="72"/>
      <c r="N53" s="73"/>
      <c r="O53" s="74">
        <v>0.79979999999999996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4736.6260000000002</v>
      </c>
      <c r="G54" s="34"/>
      <c r="H54" s="76"/>
      <c r="I54" s="77">
        <v>4736.6260000000002</v>
      </c>
      <c r="J54" s="34"/>
      <c r="K54" s="76"/>
      <c r="L54" s="77">
        <v>4736.6260000000002</v>
      </c>
      <c r="M54" s="34"/>
      <c r="N54" s="76"/>
      <c r="O54" s="77">
        <v>4736.6260000000002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33.021173484352694</v>
      </c>
      <c r="G55" s="34"/>
      <c r="H55" s="76"/>
      <c r="I55" s="78">
        <v>30.780439888359545</v>
      </c>
      <c r="J55" s="34"/>
      <c r="K55" s="76"/>
      <c r="L55" s="78">
        <v>32.781168481102917</v>
      </c>
      <c r="M55" s="34"/>
      <c r="N55" s="76"/>
      <c r="O55" s="78">
        <v>33.426560167404439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26.805500485817426</v>
      </c>
      <c r="G56" s="81"/>
      <c r="H56" s="82"/>
      <c r="I56" s="78">
        <v>26.805500485817426</v>
      </c>
      <c r="J56" s="81"/>
      <c r="K56" s="82"/>
      <c r="L56" s="78">
        <v>26.805500485817426</v>
      </c>
      <c r="M56" s="81"/>
      <c r="N56" s="82"/>
      <c r="O56" s="78">
        <v>26.805500485817426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-5.6393281797402495E-2</v>
      </c>
      <c r="G60" s="90"/>
      <c r="H60" s="76"/>
      <c r="I60" s="89">
        <v>-5.6393281797402495E-2</v>
      </c>
      <c r="J60" s="34"/>
      <c r="K60" s="91"/>
      <c r="L60" s="89">
        <v>-5.6393281797402495E-2</v>
      </c>
      <c r="M60" s="34"/>
      <c r="N60" s="76"/>
      <c r="O60" s="89">
        <v>-5.6393281797402495E-2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-5.6393281797402495E-2</v>
      </c>
      <c r="G61" s="90"/>
      <c r="H61" s="76"/>
      <c r="I61" s="92">
        <v>-5.6393281797402495E-2</v>
      </c>
      <c r="J61" s="34"/>
      <c r="K61" s="76"/>
      <c r="L61" s="93">
        <v>-5.6393281797402495E-2</v>
      </c>
      <c r="M61" s="34"/>
      <c r="N61" s="76"/>
      <c r="O61" s="92">
        <v>-5.6393281797402495E-2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0.94360671820259756</v>
      </c>
      <c r="G62" s="95"/>
      <c r="H62" s="82"/>
      <c r="I62" s="94">
        <v>0.94360671820259756</v>
      </c>
      <c r="J62" s="81"/>
      <c r="K62" s="82"/>
      <c r="L62" s="94">
        <v>0.94360671820259756</v>
      </c>
      <c r="M62" s="81"/>
      <c r="N62" s="82"/>
      <c r="O62" s="94">
        <v>0.94360671820259756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1581550.1864112995</v>
      </c>
      <c r="G72" s="34"/>
      <c r="H72" s="76"/>
      <c r="I72" s="108">
        <f>I50</f>
        <v>1596890.3426088318</v>
      </c>
      <c r="J72" s="34"/>
      <c r="K72" s="76"/>
      <c r="L72" s="108">
        <f>L50</f>
        <v>1621268.0969989332</v>
      </c>
      <c r="M72" s="34"/>
      <c r="N72" s="76"/>
      <c r="O72" s="108">
        <f>O50</f>
        <v>1577707.8832060823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1000354.2995306982</v>
      </c>
      <c r="G73" s="34"/>
      <c r="H73" s="76"/>
      <c r="I73" s="110">
        <f>F81</f>
        <v>862783.39525613724</v>
      </c>
      <c r="J73" s="34"/>
      <c r="K73" s="76"/>
      <c r="L73" s="110">
        <f>I81</f>
        <v>925049.95411382883</v>
      </c>
      <c r="M73" s="34"/>
      <c r="N73" s="76"/>
      <c r="O73" s="110">
        <f>L81</f>
        <v>931857.87708225509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457600.01913571096</v>
      </c>
      <c r="G74" s="34"/>
      <c r="H74" s="76"/>
      <c r="I74" s="110">
        <f>F82</f>
        <v>689937.95412358851</v>
      </c>
      <c r="J74" s="34"/>
      <c r="K74" s="76"/>
      <c r="L74" s="110">
        <f>I82</f>
        <v>671840.38849500299</v>
      </c>
      <c r="M74" s="34"/>
      <c r="N74" s="76"/>
      <c r="O74" s="110">
        <f>L82</f>
        <v>689410.21991667815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1457954.3186664092</v>
      </c>
      <c r="G75" s="34"/>
      <c r="H75" s="76"/>
      <c r="I75" s="111">
        <f>SUM(I73:I74)</f>
        <v>1552721.3493797258</v>
      </c>
      <c r="J75" s="34"/>
      <c r="K75" s="76"/>
      <c r="L75" s="111">
        <f>SUM(L73:L74)</f>
        <v>1596890.3426088318</v>
      </c>
      <c r="M75" s="34"/>
      <c r="N75" s="76"/>
      <c r="O75" s="111">
        <f>SUM(O73:O74)</f>
        <v>1621268.0969989332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1.0847734844380745</v>
      </c>
      <c r="G76" s="81"/>
      <c r="H76" s="82"/>
      <c r="I76" s="112">
        <f>I72/I75</f>
        <v>1.0284461814392842</v>
      </c>
      <c r="J76" s="81"/>
      <c r="K76" s="82"/>
      <c r="L76" s="112">
        <f>L72/L75</f>
        <v>1.0152657660577216</v>
      </c>
      <c r="M76" s="81"/>
      <c r="N76" s="82"/>
      <c r="O76" s="112">
        <f>O72/O75</f>
        <v>0.97313201075535649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1552721.3493797258</v>
      </c>
      <c r="G78" s="73"/>
      <c r="H78" s="73"/>
      <c r="I78" s="115">
        <f>IF(I72&lt;=I75*I71,I72,I75*I71)</f>
        <v>1596890.3426088318</v>
      </c>
      <c r="J78" s="73"/>
      <c r="K78" s="73"/>
      <c r="L78" s="115">
        <f>IF(L72&lt;=L75*L71,L72,L75*L71)</f>
        <v>1621268.0969989332</v>
      </c>
      <c r="M78" s="73"/>
      <c r="N78" s="73"/>
      <c r="O78" s="115">
        <f>IF(O72&lt;=O75*O71,O72,O75*O71)</f>
        <v>1577707.8832060823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28828.837031573756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862783.39525613724</v>
      </c>
      <c r="E81" s="120">
        <v>0</v>
      </c>
      <c r="F81" s="115">
        <f>D81+E81</f>
        <v>862783.39525613724</v>
      </c>
      <c r="G81" s="119">
        <f>G23-I79</f>
        <v>925049.95411382883</v>
      </c>
      <c r="H81" s="120">
        <f>H23</f>
        <v>0</v>
      </c>
      <c r="I81" s="115">
        <f>G81+H81</f>
        <v>925049.95411382883</v>
      </c>
      <c r="J81" s="119">
        <f>J23-L79</f>
        <v>931857.87708225509</v>
      </c>
      <c r="K81" s="120">
        <v>0</v>
      </c>
      <c r="L81" s="115">
        <f>J81+K81</f>
        <v>931857.87708225509</v>
      </c>
      <c r="M81" s="119">
        <f>M23-O79</f>
        <v>896221.11708225508</v>
      </c>
      <c r="N81" s="120">
        <v>0</v>
      </c>
      <c r="O81" s="115">
        <f>M81+N81</f>
        <v>896221.11708225508</v>
      </c>
    </row>
    <row r="82" spans="1:52" s="14" customFormat="1" ht="20" customHeight="1" thickBot="1">
      <c r="B82" s="118" t="s">
        <v>72</v>
      </c>
      <c r="D82" s="121">
        <f>D50-D81-F79</f>
        <v>689937.95412358851</v>
      </c>
      <c r="E82" s="122">
        <v>0</v>
      </c>
      <c r="F82" s="123">
        <f>D82+E82</f>
        <v>689937.95412358851</v>
      </c>
      <c r="G82" s="121">
        <f>G49-G81-I79</f>
        <v>671840.38849500299</v>
      </c>
      <c r="H82" s="122">
        <f>H49-H81</f>
        <v>0</v>
      </c>
      <c r="I82" s="123">
        <f>G82+H82</f>
        <v>671840.38849500299</v>
      </c>
      <c r="J82" s="121">
        <f>J49-J81-L79</f>
        <v>689410.21991667815</v>
      </c>
      <c r="K82" s="122">
        <v>0</v>
      </c>
      <c r="L82" s="123">
        <f>J82+K82</f>
        <v>689410.21991667815</v>
      </c>
      <c r="M82" s="121">
        <f>M49-M81-O79</f>
        <v>681486.7661238272</v>
      </c>
      <c r="N82" s="122">
        <v>0</v>
      </c>
      <c r="O82" s="123">
        <f>M82+N82</f>
        <v>681486.7661238272</v>
      </c>
    </row>
    <row r="83" spans="1:52" s="124" customFormat="1" ht="17.25" customHeight="1" thickBot="1">
      <c r="B83" s="125" t="s">
        <v>73</v>
      </c>
      <c r="C83" s="14"/>
      <c r="D83" s="126">
        <f>SUM(D81:D82)</f>
        <v>1552721.3493797258</v>
      </c>
      <c r="E83" s="127">
        <f t="shared" ref="E83:O83" si="25">SUM(E81:E82)</f>
        <v>0</v>
      </c>
      <c r="F83" s="128">
        <f t="shared" si="25"/>
        <v>1552721.3493797258</v>
      </c>
      <c r="G83" s="126">
        <f t="shared" si="25"/>
        <v>1596890.3426088318</v>
      </c>
      <c r="H83" s="127">
        <f t="shared" si="25"/>
        <v>0</v>
      </c>
      <c r="I83" s="128">
        <f t="shared" si="25"/>
        <v>1596890.3426088318</v>
      </c>
      <c r="J83" s="126">
        <f t="shared" si="25"/>
        <v>1621268.0969989332</v>
      </c>
      <c r="K83" s="127">
        <f t="shared" si="25"/>
        <v>0</v>
      </c>
      <c r="L83" s="128">
        <f t="shared" si="25"/>
        <v>1621268.0969989332</v>
      </c>
      <c r="M83" s="126">
        <f t="shared" si="25"/>
        <v>1577707.8832060823</v>
      </c>
      <c r="N83" s="127">
        <f t="shared" si="25"/>
        <v>0</v>
      </c>
      <c r="O83" s="128">
        <f t="shared" si="25"/>
        <v>1577707.8832060823</v>
      </c>
    </row>
    <row r="84" spans="1:52" s="19" customFormat="1" ht="20" customHeight="1" thickBot="1">
      <c r="B84" s="96"/>
      <c r="C84" s="14"/>
      <c r="D84" s="168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862783.39525613724</v>
      </c>
      <c r="G88" s="72"/>
      <c r="H88" s="73"/>
      <c r="I88" s="136">
        <f>I81-I85</f>
        <v>925049.95411382883</v>
      </c>
      <c r="J88" s="72"/>
      <c r="K88" s="73"/>
      <c r="L88" s="136">
        <f>L81-L85</f>
        <v>931857.87708225509</v>
      </c>
      <c r="M88" s="72"/>
      <c r="N88" s="73"/>
      <c r="O88" s="136">
        <f>O81-O85</f>
        <v>896221.11708225508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689937.95412358851</v>
      </c>
      <c r="G89" s="34"/>
      <c r="H89" s="76"/>
      <c r="I89" s="138">
        <f>I82-I86</f>
        <v>671840.38849500299</v>
      </c>
      <c r="J89" s="34"/>
      <c r="K89" s="76"/>
      <c r="L89" s="138">
        <f>L82-L86</f>
        <v>689410.21991667815</v>
      </c>
      <c r="M89" s="34"/>
      <c r="N89" s="76"/>
      <c r="O89" s="138">
        <f>O82-O86</f>
        <v>681486.7661238272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1552721.3493797258</v>
      </c>
      <c r="G90" s="81"/>
      <c r="H90" s="82"/>
      <c r="I90" s="139">
        <f>+I88+I89</f>
        <v>1596890.3426088318</v>
      </c>
      <c r="J90" s="81"/>
      <c r="K90" s="82"/>
      <c r="L90" s="139">
        <f>+L88+L89</f>
        <v>1621268.0969989332</v>
      </c>
      <c r="M90" s="81"/>
      <c r="N90" s="82"/>
      <c r="O90" s="139">
        <f>+O88+O89</f>
        <v>1577707.8832060823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-162.29623831008576</v>
      </c>
      <c r="E92" s="143">
        <v>0</v>
      </c>
      <c r="F92" s="144">
        <f>D92+E92</f>
        <v>-162.29623831008576</v>
      </c>
      <c r="G92" s="142">
        <v>-7693.7942056797092</v>
      </c>
      <c r="H92" s="143">
        <v>0</v>
      </c>
      <c r="I92" s="144">
        <f>G92+H92</f>
        <v>-7693.7942056797092</v>
      </c>
      <c r="J92" s="142">
        <v>-7693.7942056797092</v>
      </c>
      <c r="K92" s="143">
        <v>0</v>
      </c>
      <c r="L92" s="144">
        <f>J92+K92</f>
        <v>-7693.7942056797092</v>
      </c>
      <c r="M92" s="142">
        <v>-7693.7942056797092</v>
      </c>
      <c r="N92" s="143">
        <v>0</v>
      </c>
      <c r="O92" s="144">
        <f>M92+N92</f>
        <v>-7693.7942056797092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1614144.0516941408</v>
      </c>
      <c r="E96" s="166">
        <f>E6+E7+E8+E9+E11+E25+E30+E40+E42+E21+E45</f>
        <v>0</v>
      </c>
      <c r="F96" s="166">
        <f t="shared" ref="F96" si="26">F6+F7+F8+F9+F11+F25+F30+F40+F42</f>
        <v>1614144.0516941408</v>
      </c>
      <c r="G96" s="166">
        <f t="shared" ref="G96" si="27">G6+G7+G8+G9+G11+G25+G30+G40+G42+G21+G45</f>
        <v>1652800.5306068771</v>
      </c>
      <c r="H96" s="166">
        <f t="shared" ref="H96" si="28">H6+H7+H8+H9+H11+H25+H30+H40+H42</f>
        <v>0</v>
      </c>
      <c r="I96" s="166">
        <f t="shared" ref="I96" si="29">I6+I7+I8+I9+I11+I25+I30+I40+I42+I21+I45</f>
        <v>1652800.5306068771</v>
      </c>
      <c r="J96" s="166">
        <f t="shared" ref="J96" si="30">J6+J7+J8+J9+J11+J25+J30+J40+J42</f>
        <v>1647547.5313060731</v>
      </c>
      <c r="K96" s="166">
        <f t="shared" ref="K96" si="31">K6+K7+K8+K9+K11+K25+K30+K40+K42+K21+K45</f>
        <v>0</v>
      </c>
      <c r="L96" s="166">
        <f t="shared" ref="L96" si="32">L6+L7+L8+L9+L11+L25+L30+L40+L42</f>
        <v>1647547.5313060731</v>
      </c>
      <c r="M96" s="166">
        <f t="shared" ref="M96" si="33">M6+M7+M8+M9+M11+M25+M30+M40+M42+M21+M45</f>
        <v>1639624.0775132221</v>
      </c>
      <c r="N96" s="166">
        <f t="shared" ref="N96" si="34">N6+N7+N8+N9+N11+N25+N30+N40+N42</f>
        <v>0</v>
      </c>
      <c r="O96" s="166">
        <f t="shared" ref="O96" si="35">O6+O7+O8+O9+O11+O25+O30+O40+O42+O21+O45</f>
        <v>1639624.0775132221</v>
      </c>
    </row>
    <row r="97" spans="4:15" s="14" customFormat="1">
      <c r="D97" s="166">
        <f>D96-D15-D19</f>
        <v>1552165.9411926938</v>
      </c>
      <c r="E97" s="166">
        <f>E96-E15-E19</f>
        <v>0</v>
      </c>
      <c r="F97" s="166">
        <f t="shared" ref="F97:O97" si="36">F96-F15-F19</f>
        <v>1552165.9411926938</v>
      </c>
      <c r="G97" s="166">
        <f t="shared" si="36"/>
        <v>1590884.336299737</v>
      </c>
      <c r="H97" s="166">
        <f t="shared" si="36"/>
        <v>0</v>
      </c>
      <c r="I97" s="166">
        <f t="shared" si="36"/>
        <v>1590884.336299737</v>
      </c>
      <c r="J97" s="166">
        <f t="shared" si="36"/>
        <v>1585631.336998933</v>
      </c>
      <c r="K97" s="166">
        <f t="shared" si="36"/>
        <v>0</v>
      </c>
      <c r="L97" s="166">
        <f t="shared" si="36"/>
        <v>1585631.336998933</v>
      </c>
      <c r="M97" s="166">
        <f t="shared" si="36"/>
        <v>1577707.883206082</v>
      </c>
      <c r="N97" s="166">
        <f t="shared" si="36"/>
        <v>0</v>
      </c>
      <c r="O97" s="166">
        <f t="shared" si="36"/>
        <v>1577707.883206082</v>
      </c>
    </row>
    <row r="98" spans="4:15" s="14" customFormat="1">
      <c r="D98" s="166">
        <f>D20+D44</f>
        <v>29384.245218605603</v>
      </c>
      <c r="E98" s="166">
        <f>E20+E44</f>
        <v>0</v>
      </c>
      <c r="F98" s="166">
        <f t="shared" ref="F98:O98" si="37">F20+F44</f>
        <v>29384.245218605603</v>
      </c>
      <c r="G98" s="166">
        <f t="shared" si="37"/>
        <v>-22822.830722479295</v>
      </c>
      <c r="H98" s="166">
        <f t="shared" si="37"/>
        <v>0</v>
      </c>
      <c r="I98" s="166">
        <f t="shared" si="37"/>
        <v>-22822.830722479295</v>
      </c>
      <c r="J98" s="166">
        <f t="shared" si="37"/>
        <v>35636.760000000009</v>
      </c>
      <c r="K98" s="166">
        <f t="shared" si="37"/>
        <v>0</v>
      </c>
      <c r="L98" s="166">
        <f t="shared" si="37"/>
        <v>35636.760000000009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236" priority="7" operator="containsText" text="ERRORE">
      <formula>NOT(ISERROR(SEARCH("ERRORE",F81)))</formula>
    </cfRule>
  </conditionalFormatting>
  <conditionalFormatting sqref="I83">
    <cfRule type="containsText" dxfId="235" priority="6" operator="containsText" text="ERRORE">
      <formula>NOT(ISERROR(SEARCH("ERRORE",I83)))</formula>
    </cfRule>
  </conditionalFormatting>
  <conditionalFormatting sqref="I81:I82">
    <cfRule type="containsText" dxfId="234" priority="5" operator="containsText" text="ERRORE">
      <formula>NOT(ISERROR(SEARCH("ERRORE",I81)))</formula>
    </cfRule>
  </conditionalFormatting>
  <conditionalFormatting sqref="L83">
    <cfRule type="containsText" dxfId="233" priority="4" operator="containsText" text="ERRORE">
      <formula>NOT(ISERROR(SEARCH("ERRORE",L83)))</formula>
    </cfRule>
  </conditionalFormatting>
  <conditionalFormatting sqref="L81:L82">
    <cfRule type="containsText" dxfId="232" priority="3" operator="containsText" text="ERRORE">
      <formula>NOT(ISERROR(SEARCH("ERRORE",L81)))</formula>
    </cfRule>
  </conditionalFormatting>
  <conditionalFormatting sqref="O83">
    <cfRule type="containsText" dxfId="231" priority="2" operator="containsText" text="ERRORE">
      <formula>NOT(ISERROR(SEARCH("ERRORE",O83)))</formula>
    </cfRule>
  </conditionalFormatting>
  <conditionalFormatting sqref="O81:O82">
    <cfRule type="containsText" dxfId="230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H82" zoomScale="80" zoomScaleNormal="80" zoomScalePageLayoutView="80" workbookViewId="0">
      <selection activeCell="E21" sqref="E21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85</v>
      </c>
      <c r="B1" s="2" t="str">
        <f>"       PEF 2022 - 2025"&amp;" - "&amp;A1</f>
        <v xml:space="preserve">       PEF 2022 - 2025 - Cavallino-treporti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125</v>
      </c>
      <c r="E4" s="188"/>
      <c r="F4" s="189"/>
      <c r="G4" s="187" t="str">
        <f>D4</f>
        <v>Ambito tariffario: Cavallino Treporti</v>
      </c>
      <c r="H4" s="188"/>
      <c r="I4" s="189"/>
      <c r="J4" s="187" t="str">
        <f>D4</f>
        <v>Ambito tariffario: Cavallino Treporti</v>
      </c>
      <c r="K4" s="188"/>
      <c r="L4" s="189"/>
      <c r="M4" s="187" t="str">
        <f>D4</f>
        <v>Ambito tariffario: Cavallino Treporti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596504.49329713616</v>
      </c>
      <c r="E6" s="22">
        <v>0</v>
      </c>
      <c r="F6" s="23">
        <f>D6+E6</f>
        <v>596504.49329713616</v>
      </c>
      <c r="G6" s="22">
        <v>617056.34020594158</v>
      </c>
      <c r="H6" s="22">
        <v>0</v>
      </c>
      <c r="I6" s="23">
        <f>G6+H6</f>
        <v>617056.34020594158</v>
      </c>
      <c r="J6" s="22">
        <v>617056.34020594158</v>
      </c>
      <c r="K6" s="22">
        <v>0</v>
      </c>
      <c r="L6" s="23">
        <f>J6+K6</f>
        <v>617056.34020594158</v>
      </c>
      <c r="M6" s="22">
        <v>617056.34020594158</v>
      </c>
      <c r="N6" s="22">
        <v>0</v>
      </c>
      <c r="O6" s="23">
        <f>M6+N6</f>
        <v>617056.34020594158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837211.03594247636</v>
      </c>
      <c r="E7" s="22">
        <v>0</v>
      </c>
      <c r="F7" s="23">
        <f t="shared" ref="F7:F20" si="0">D7+E7</f>
        <v>837211.03594247636</v>
      </c>
      <c r="G7" s="22">
        <v>723730.27942280762</v>
      </c>
      <c r="H7" s="22">
        <v>0</v>
      </c>
      <c r="I7" s="23">
        <f t="shared" ref="I7:I13" si="1">G7+H7</f>
        <v>723730.27942280762</v>
      </c>
      <c r="J7" s="22">
        <v>723730.27942280762</v>
      </c>
      <c r="K7" s="22">
        <v>0</v>
      </c>
      <c r="L7" s="23">
        <f t="shared" ref="L7:L12" si="2">J7+K7</f>
        <v>723730.27942280762</v>
      </c>
      <c r="M7" s="22">
        <v>723730.27942280762</v>
      </c>
      <c r="N7" s="22">
        <v>0</v>
      </c>
      <c r="O7" s="23">
        <f t="shared" ref="O7:O13" si="3">M7+N7</f>
        <v>723730.27942280762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685390.28257393115</v>
      </c>
      <c r="E8" s="22">
        <v>0</v>
      </c>
      <c r="F8" s="23">
        <f t="shared" si="0"/>
        <v>685390.28257393115</v>
      </c>
      <c r="G8" s="22">
        <v>717470.67168864189</v>
      </c>
      <c r="H8" s="22">
        <v>0</v>
      </c>
      <c r="I8" s="23">
        <f t="shared" si="1"/>
        <v>717470.67168864189</v>
      </c>
      <c r="J8" s="22">
        <v>717470.67168864189</v>
      </c>
      <c r="K8" s="22">
        <v>0</v>
      </c>
      <c r="L8" s="23">
        <f t="shared" si="2"/>
        <v>717470.67168864189</v>
      </c>
      <c r="M8" s="22">
        <v>717470.67168864189</v>
      </c>
      <c r="N8" s="22">
        <v>0</v>
      </c>
      <c r="O8" s="23">
        <f t="shared" si="3"/>
        <v>717470.67168864189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1352574.8838430052</v>
      </c>
      <c r="E9" s="22">
        <v>0</v>
      </c>
      <c r="F9" s="23">
        <f t="shared" si="0"/>
        <v>1352574.8838430052</v>
      </c>
      <c r="G9" s="22">
        <v>1390776.7373920789</v>
      </c>
      <c r="H9" s="22">
        <v>0</v>
      </c>
      <c r="I9" s="23">
        <f t="shared" si="1"/>
        <v>1390776.7373920789</v>
      </c>
      <c r="J9" s="22">
        <v>1390776.7373920789</v>
      </c>
      <c r="K9" s="22">
        <v>0</v>
      </c>
      <c r="L9" s="23">
        <f t="shared" si="2"/>
        <v>1390776.7373920789</v>
      </c>
      <c r="M9" s="22">
        <v>1390776.7373920789</v>
      </c>
      <c r="N9" s="22">
        <v>0</v>
      </c>
      <c r="O9" s="23">
        <f t="shared" si="3"/>
        <v>1390776.7373920789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8798.8185507390263</v>
      </c>
      <c r="E11" s="22">
        <v>0</v>
      </c>
      <c r="F11" s="23">
        <f t="shared" si="0"/>
        <v>8798.8185507390263</v>
      </c>
      <c r="G11" s="22">
        <v>8798.8185507390263</v>
      </c>
      <c r="H11" s="22">
        <v>0</v>
      </c>
      <c r="I11" s="23">
        <f t="shared" si="1"/>
        <v>8798.8185507390263</v>
      </c>
      <c r="J11" s="22">
        <v>8798.8185507390263</v>
      </c>
      <c r="K11" s="22">
        <v>0</v>
      </c>
      <c r="L11" s="23">
        <f t="shared" si="2"/>
        <v>8798.8185507390263</v>
      </c>
      <c r="M11" s="22">
        <v>8798.8185507390263</v>
      </c>
      <c r="N11" s="22">
        <v>0</v>
      </c>
      <c r="O11" s="23">
        <f t="shared" si="3"/>
        <v>8798.8185507390263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251056.27167851923</v>
      </c>
      <c r="E13" s="22">
        <v>0</v>
      </c>
      <c r="F13" s="23">
        <f t="shared" si="0"/>
        <v>251056.27167851923</v>
      </c>
      <c r="G13" s="22">
        <v>250805.46621230696</v>
      </c>
      <c r="H13" s="22">
        <v>0</v>
      </c>
      <c r="I13" s="23">
        <f t="shared" si="1"/>
        <v>250805.46621230696</v>
      </c>
      <c r="J13" s="22">
        <v>250805.46621230696</v>
      </c>
      <c r="K13" s="22">
        <v>0</v>
      </c>
      <c r="L13" s="23">
        <f>J13+K13</f>
        <v>250805.46621230696</v>
      </c>
      <c r="M13" s="22">
        <v>250805.46621230696</v>
      </c>
      <c r="N13" s="22">
        <v>0</v>
      </c>
      <c r="O13" s="23">
        <f t="shared" si="3"/>
        <v>250805.46621230696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150633.76300711153</v>
      </c>
      <c r="E15" s="22">
        <v>0</v>
      </c>
      <c r="F15" s="23">
        <f t="shared" si="0"/>
        <v>150633.76300711153</v>
      </c>
      <c r="G15" s="22">
        <v>150483.27972738416</v>
      </c>
      <c r="H15" s="22">
        <v>0</v>
      </c>
      <c r="I15" s="23">
        <f t="shared" ref="I15:I16" si="4">G15+H15</f>
        <v>150483.27972738416</v>
      </c>
      <c r="J15" s="22">
        <v>150483.27972738416</v>
      </c>
      <c r="K15" s="22">
        <v>0</v>
      </c>
      <c r="L15" s="23">
        <f t="shared" ref="L15:L16" si="5">J15+K15</f>
        <v>150483.27972738416</v>
      </c>
      <c r="M15" s="22">
        <v>150483.27972738416</v>
      </c>
      <c r="N15" s="22">
        <v>0</v>
      </c>
      <c r="O15" s="23">
        <f t="shared" ref="O15:O16" si="6">M15+N15</f>
        <v>150483.27972738416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9935.5168410363713</v>
      </c>
      <c r="E16" s="22">
        <v>0</v>
      </c>
      <c r="F16" s="23">
        <f t="shared" si="0"/>
        <v>9935.5168410363713</v>
      </c>
      <c r="G16" s="22">
        <v>9925.5912497865866</v>
      </c>
      <c r="H16" s="22">
        <v>0</v>
      </c>
      <c r="I16" s="23">
        <f t="shared" si="4"/>
        <v>9925.5912497865866</v>
      </c>
      <c r="J16" s="22">
        <v>9925.5912497865866</v>
      </c>
      <c r="K16" s="22">
        <v>0</v>
      </c>
      <c r="L16" s="23">
        <f t="shared" si="5"/>
        <v>9925.5912497865866</v>
      </c>
      <c r="M16" s="22">
        <v>9925.5912497865866</v>
      </c>
      <c r="N16" s="22">
        <v>0</v>
      </c>
      <c r="O16" s="23">
        <f t="shared" si="6"/>
        <v>9925.5912497865866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6557.4411150840051</v>
      </c>
      <c r="E19" s="22">
        <v>0</v>
      </c>
      <c r="F19" s="23">
        <f t="shared" si="0"/>
        <v>6557.4411150840051</v>
      </c>
      <c r="G19" s="22">
        <v>6550.8902248591476</v>
      </c>
      <c r="H19" s="22">
        <v>0</v>
      </c>
      <c r="I19" s="23">
        <f t="shared" ref="I19:I20" si="7">G19+H19</f>
        <v>6550.8902248591476</v>
      </c>
      <c r="J19" s="22">
        <v>6550.8902248591476</v>
      </c>
      <c r="K19" s="22">
        <v>0</v>
      </c>
      <c r="L19" s="23">
        <f t="shared" ref="L19:L20" si="8">J19+K19</f>
        <v>6550.8902248591476</v>
      </c>
      <c r="M19" s="32">
        <v>6550.8902248591476</v>
      </c>
      <c r="N19" s="33">
        <v>0</v>
      </c>
      <c r="O19" s="23">
        <f t="shared" ref="O19:O20" si="9">M19+N19</f>
        <v>6550.8902248591476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22">
        <v>0</v>
      </c>
      <c r="F20" s="23">
        <f t="shared" si="0"/>
        <v>0</v>
      </c>
      <c r="G20" s="22">
        <v>40267.270268140652</v>
      </c>
      <c r="H20" s="22">
        <v>0</v>
      </c>
      <c r="I20" s="23">
        <f t="shared" si="7"/>
        <v>40267.270268140652</v>
      </c>
      <c r="J20" s="22">
        <v>339527.22864471667</v>
      </c>
      <c r="K20" s="22">
        <v>0</v>
      </c>
      <c r="L20" s="23">
        <f t="shared" si="8"/>
        <v>339527.22864471667</v>
      </c>
      <c r="M20" s="22">
        <v>250000</v>
      </c>
      <c r="N20" s="22">
        <v>0</v>
      </c>
      <c r="O20" s="23">
        <f t="shared" si="9"/>
        <v>250000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332328.83100850927</v>
      </c>
      <c r="F21" s="23">
        <f>E21</f>
        <v>332328.83100850927</v>
      </c>
      <c r="G21" s="34"/>
      <c r="H21" s="22">
        <f>G23*0.1</f>
        <v>334106.5947576107</v>
      </c>
      <c r="I21" s="23">
        <f>H21</f>
        <v>334106.5947576107</v>
      </c>
      <c r="J21" s="34"/>
      <c r="K21" s="22">
        <f>J23*0.1</f>
        <v>364032.5905952683</v>
      </c>
      <c r="L21" s="23">
        <f>K21</f>
        <v>364032.5905952683</v>
      </c>
      <c r="M21" s="34"/>
      <c r="N21" s="22">
        <f>M23*0.1</f>
        <v>355079.86773079663</v>
      </c>
      <c r="O21" s="23">
        <f>N21</f>
        <v>355079.86773079663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>
        <f>F79</f>
        <v>0</v>
      </c>
      <c r="H22" s="22">
        <v>0</v>
      </c>
      <c r="I22" s="36">
        <f t="shared" ref="I22" si="10">G22+H22</f>
        <v>0</v>
      </c>
      <c r="J22" s="22">
        <f>I79</f>
        <v>0</v>
      </c>
      <c r="K22" s="22">
        <v>0</v>
      </c>
      <c r="L22" s="36">
        <f t="shared" ref="L22" si="11">J22+K22</f>
        <v>0</v>
      </c>
      <c r="M22" s="22">
        <f>L79</f>
        <v>0</v>
      </c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3323288.3100850922</v>
      </c>
      <c r="E23" s="38">
        <f>E6+E7+E8+E9+E10+E11+E12-E15-E19+E20+E21</f>
        <v>332328.83100850927</v>
      </c>
      <c r="F23" s="38">
        <f>D23+E23</f>
        <v>3655617.1410936015</v>
      </c>
      <c r="G23" s="38">
        <f>G6+G7+G8+G9+G10+G11+G12-G15-G19+G20+G22</f>
        <v>3341065.947576107</v>
      </c>
      <c r="H23" s="38">
        <f>H6+H7+H8+H9+H10+H11+H12-H15-H19+H20+H21+H22</f>
        <v>334106.5947576107</v>
      </c>
      <c r="I23" s="38">
        <f>G23+H23</f>
        <v>3675172.5423337175</v>
      </c>
      <c r="J23" s="38">
        <f>J6+J7+J8+J9+J10+J11+J12-J15-J19+J20+J22</f>
        <v>3640325.9059526827</v>
      </c>
      <c r="K23" s="38">
        <f>K6+K7+K8+K9+K10+K11+K12-K15-K19+K20+K21+K22</f>
        <v>364032.5905952683</v>
      </c>
      <c r="L23" s="38">
        <f>J23+K23</f>
        <v>4004358.4965479509</v>
      </c>
      <c r="M23" s="38">
        <f>M6+M7+M8+M9+M10+M11+M12-M15-M19+M20+M22</f>
        <v>3550798.6773079662</v>
      </c>
      <c r="N23" s="38">
        <f>N6+N7+N8+N9+N10+N11+N12-N15-N19+N20+N21+N22</f>
        <v>355079.86773079663</v>
      </c>
      <c r="O23" s="38">
        <f>M23+N23</f>
        <v>3905878.545038763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707477.47785146488</v>
      </c>
      <c r="E25" s="44">
        <v>0</v>
      </c>
      <c r="F25" s="45">
        <f t="shared" ref="F25:F44" si="13">D25+E25</f>
        <v>707477.47785146488</v>
      </c>
      <c r="G25" s="44">
        <v>739495.78784610133</v>
      </c>
      <c r="H25" s="44">
        <v>0</v>
      </c>
      <c r="I25" s="45">
        <f t="shared" ref="I25:I33" si="14">G25+H25</f>
        <v>739495.78784610133</v>
      </c>
      <c r="J25" s="44">
        <v>739495.78784610133</v>
      </c>
      <c r="K25" s="44">
        <v>0</v>
      </c>
      <c r="L25" s="45">
        <f t="shared" ref="L25:L44" si="15">J25+K25</f>
        <v>739495.78784610133</v>
      </c>
      <c r="M25" s="44">
        <v>739495.78784610133</v>
      </c>
      <c r="N25" s="44">
        <v>0</v>
      </c>
      <c r="O25" s="45">
        <f t="shared" ref="O25:O43" si="16">M25+N25</f>
        <v>739495.78784610133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235862.15992177164</v>
      </c>
      <c r="E26" s="22">
        <v>0</v>
      </c>
      <c r="F26" s="36">
        <f t="shared" si="13"/>
        <v>235862.15992177164</v>
      </c>
      <c r="G26" s="22">
        <v>242771.55501057304</v>
      </c>
      <c r="H26" s="22">
        <v>0</v>
      </c>
      <c r="I26" s="36">
        <f t="shared" si="14"/>
        <v>242771.55501057304</v>
      </c>
      <c r="J26" s="22">
        <v>242771.55501057304</v>
      </c>
      <c r="K26" s="22">
        <v>0</v>
      </c>
      <c r="L26" s="36">
        <f t="shared" si="15"/>
        <v>242771.55501057304</v>
      </c>
      <c r="M26" s="22">
        <v>242771.55501057304</v>
      </c>
      <c r="N26" s="22">
        <v>0</v>
      </c>
      <c r="O26" s="36">
        <f t="shared" si="16"/>
        <v>242771.55501057304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493931.93477044051</v>
      </c>
      <c r="E27" s="47">
        <v>0</v>
      </c>
      <c r="F27" s="48">
        <f t="shared" si="13"/>
        <v>493931.93477044051</v>
      </c>
      <c r="G27" s="47">
        <v>512951.46858487098</v>
      </c>
      <c r="H27" s="47">
        <v>0</v>
      </c>
      <c r="I27" s="48">
        <f t="shared" si="14"/>
        <v>512951.46858487098</v>
      </c>
      <c r="J27" s="47">
        <v>512951.46858487098</v>
      </c>
      <c r="K27" s="47">
        <v>0</v>
      </c>
      <c r="L27" s="48">
        <f t="shared" si="15"/>
        <v>512951.46858487098</v>
      </c>
      <c r="M27" s="47">
        <v>512951.46858487098</v>
      </c>
      <c r="N27" s="47">
        <v>0</v>
      </c>
      <c r="O27" s="48">
        <f t="shared" si="16"/>
        <v>512951.46858487098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12383.252578276031</v>
      </c>
      <c r="E29" s="47">
        <v>7897.1999999999989</v>
      </c>
      <c r="F29" s="48">
        <f t="shared" si="13"/>
        <v>20280.452578276032</v>
      </c>
      <c r="G29" s="47">
        <v>12472.21582535758</v>
      </c>
      <c r="H29" s="47">
        <v>7897</v>
      </c>
      <c r="I29" s="48">
        <f t="shared" si="14"/>
        <v>20369.21582535758</v>
      </c>
      <c r="J29" s="47">
        <v>12472.21582535758</v>
      </c>
      <c r="K29" s="47">
        <v>7897</v>
      </c>
      <c r="L29" s="48">
        <f t="shared" si="15"/>
        <v>20369.21582535758</v>
      </c>
      <c r="M29" s="47">
        <v>12472.21582535758</v>
      </c>
      <c r="N29" s="47">
        <v>7897</v>
      </c>
      <c r="O29" s="48">
        <f t="shared" si="16"/>
        <v>20369.21582535758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742177.34727048816</v>
      </c>
      <c r="E30" s="51">
        <f>+E26+E27+E28+E29</f>
        <v>7897.1999999999989</v>
      </c>
      <c r="F30" s="52">
        <f t="shared" si="13"/>
        <v>750074.54727048811</v>
      </c>
      <c r="G30" s="51">
        <f>+G26+G27+G28+G29</f>
        <v>768195.23942080163</v>
      </c>
      <c r="H30" s="51">
        <f>+H26+H27+H28+H29</f>
        <v>7897</v>
      </c>
      <c r="I30" s="52">
        <f t="shared" si="14"/>
        <v>776092.23942080163</v>
      </c>
      <c r="J30" s="51">
        <f>+J26+J27+J28+J29</f>
        <v>768195.23942080163</v>
      </c>
      <c r="K30" s="51">
        <f>+K26+K27+K28+K29</f>
        <v>7897</v>
      </c>
      <c r="L30" s="52">
        <f t="shared" si="15"/>
        <v>776092.23942080163</v>
      </c>
      <c r="M30" s="51">
        <f>+M26+M27+M28+M29</f>
        <v>768195.23942080163</v>
      </c>
      <c r="N30" s="51">
        <f>+N26+N27+N28+N29</f>
        <v>7897</v>
      </c>
      <c r="O30" s="52">
        <f t="shared" si="16"/>
        <v>776092.23942080163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213855.5134648128</v>
      </c>
      <c r="E31" s="53">
        <v>0</v>
      </c>
      <c r="F31" s="48">
        <f t="shared" si="13"/>
        <v>213855.5134648128</v>
      </c>
      <c r="G31" s="147">
        <f>VLOOKUP($A$1,REM_ToolEnrico!$B$5:$J$38,4,FALSE)</f>
        <v>218016.11697808694</v>
      </c>
      <c r="H31" s="53">
        <v>0</v>
      </c>
      <c r="I31" s="48">
        <f t="shared" si="14"/>
        <v>218016.11697808694</v>
      </c>
      <c r="J31" s="147">
        <f>VLOOKUP($A$1,REM_ToolEnrico!$B$5:$J$38,6,FALSE)</f>
        <v>184438.42482715004</v>
      </c>
      <c r="K31" s="53">
        <v>0</v>
      </c>
      <c r="L31" s="48">
        <f t="shared" si="15"/>
        <v>184438.42482715004</v>
      </c>
      <c r="M31" s="147">
        <f>VLOOKUP($A$1,REM_ToolEnrico!$B$5:$J$38,8,FALSE)</f>
        <v>169404.48147695523</v>
      </c>
      <c r="N31" s="53">
        <v>0</v>
      </c>
      <c r="O31" s="48">
        <f t="shared" si="16"/>
        <v>169404.48147695523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0</v>
      </c>
      <c r="F32" s="48">
        <f t="shared" si="13"/>
        <v>0</v>
      </c>
      <c r="G32" s="54">
        <f>+G33+G34+G35+G36</f>
        <v>0</v>
      </c>
      <c r="H32" s="54">
        <f>+H33+H34+H35+H36</f>
        <v>0</v>
      </c>
      <c r="I32" s="48">
        <f t="shared" si="14"/>
        <v>0</v>
      </c>
      <c r="J32" s="54">
        <f>+J33+J34+J35+J36</f>
        <v>0</v>
      </c>
      <c r="K32" s="54">
        <f>+K33+K34+K35+K36</f>
        <v>0</v>
      </c>
      <c r="L32" s="48">
        <f t="shared" si="15"/>
        <v>0</v>
      </c>
      <c r="M32" s="54">
        <f>+M33+M34+M35+M36</f>
        <v>0</v>
      </c>
      <c r="N32" s="54">
        <f>+N33+N34+N35+N36</f>
        <v>0</v>
      </c>
      <c r="O32" s="48">
        <f t="shared" si="16"/>
        <v>0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0</v>
      </c>
      <c r="F34" s="48">
        <f>D34+E34</f>
        <v>0</v>
      </c>
      <c r="G34" s="47">
        <v>0</v>
      </c>
      <c r="H34" s="47">
        <v>0</v>
      </c>
      <c r="I34" s="48">
        <f>G34+H34</f>
        <v>0</v>
      </c>
      <c r="J34" s="47">
        <v>0</v>
      </c>
      <c r="K34" s="47">
        <v>0</v>
      </c>
      <c r="L34" s="48">
        <f t="shared" si="15"/>
        <v>0</v>
      </c>
      <c r="M34" s="47">
        <v>0</v>
      </c>
      <c r="N34" s="47">
        <v>0</v>
      </c>
      <c r="O34" s="48">
        <f t="shared" si="16"/>
        <v>0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94914.831272963667</v>
      </c>
      <c r="E37" s="47">
        <v>0</v>
      </c>
      <c r="F37" s="48">
        <f t="shared" si="13"/>
        <v>94914.831272963667</v>
      </c>
      <c r="G37" s="147">
        <f>VLOOKUP($A$1,REM_ToolEnrico!$B$5:$J$38,5,FALSE)</f>
        <v>86247.187375690482</v>
      </c>
      <c r="H37" s="47">
        <v>0</v>
      </c>
      <c r="I37" s="48">
        <f t="shared" si="17"/>
        <v>86247.187375690482</v>
      </c>
      <c r="J37" s="147">
        <f>VLOOKUP($A$1,REM_ToolEnrico!$B$5:$J$38,7,FALSE)</f>
        <v>82206.68453950758</v>
      </c>
      <c r="K37" s="47">
        <v>0</v>
      </c>
      <c r="L37" s="48">
        <f t="shared" si="15"/>
        <v>82206.68453950758</v>
      </c>
      <c r="M37" s="147">
        <f>VLOOKUP($A$1,REM_ToolEnrico!$B$5:$J$38,9,FALSE)</f>
        <v>86520.48369810688</v>
      </c>
      <c r="N37" s="47">
        <v>0</v>
      </c>
      <c r="O37" s="48">
        <f t="shared" si="16"/>
        <v>86520.48369810688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899.71514447821244</v>
      </c>
      <c r="E38" s="47">
        <v>0</v>
      </c>
      <c r="F38" s="48">
        <f t="shared" si="13"/>
        <v>899.71514447821244</v>
      </c>
      <c r="G38" s="47">
        <v>901.51457476716882</v>
      </c>
      <c r="H38" s="47">
        <v>0</v>
      </c>
      <c r="I38" s="48">
        <f t="shared" si="17"/>
        <v>901.51457476716882</v>
      </c>
      <c r="J38" s="47">
        <v>901.51457476716882</v>
      </c>
      <c r="K38" s="47">
        <v>0</v>
      </c>
      <c r="L38" s="48">
        <f t="shared" si="15"/>
        <v>901.51457476716882</v>
      </c>
      <c r="M38" s="47">
        <v>901.51457476716882</v>
      </c>
      <c r="N38" s="47">
        <v>0</v>
      </c>
      <c r="O38" s="48">
        <f t="shared" si="16"/>
        <v>901.51457476716882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675.08771679719985</v>
      </c>
      <c r="E39" s="56">
        <v>0</v>
      </c>
      <c r="F39" s="48">
        <f t="shared" si="13"/>
        <v>675.08771679719985</v>
      </c>
      <c r="G39" s="56">
        <v>662.51593023439489</v>
      </c>
      <c r="H39" s="56">
        <v>0</v>
      </c>
      <c r="I39" s="48">
        <f t="shared" si="17"/>
        <v>662.51593023439489</v>
      </c>
      <c r="J39" s="56">
        <v>649.94414367158981</v>
      </c>
      <c r="K39" s="56">
        <v>0</v>
      </c>
      <c r="L39" s="48">
        <f t="shared" si="15"/>
        <v>649.94414367158981</v>
      </c>
      <c r="M39" s="56">
        <v>637.37235710878485</v>
      </c>
      <c r="N39" s="56">
        <v>0</v>
      </c>
      <c r="O39" s="48">
        <f t="shared" si="16"/>
        <v>637.37235710878485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310345.14759905188</v>
      </c>
      <c r="E40" s="51">
        <f>E38+E37+E32+E31+E39</f>
        <v>0</v>
      </c>
      <c r="F40" s="52">
        <f t="shared" si="13"/>
        <v>310345.14759905188</v>
      </c>
      <c r="G40" s="51">
        <f>G38+G37+G32+G31+G39</f>
        <v>305827.33485877898</v>
      </c>
      <c r="H40" s="51">
        <f>H38+H37+H32+H31+H39</f>
        <v>0</v>
      </c>
      <c r="I40" s="52">
        <f t="shared" si="17"/>
        <v>305827.33485877898</v>
      </c>
      <c r="J40" s="51">
        <f>J38+J37+J32+J31+J39</f>
        <v>268196.56808509637</v>
      </c>
      <c r="K40" s="51">
        <f>K38+K37+K32+K31+K39</f>
        <v>0</v>
      </c>
      <c r="L40" s="52">
        <f t="shared" si="15"/>
        <v>268196.56808509637</v>
      </c>
      <c r="M40" s="51">
        <f>M38+M37+M32+M31+M39</f>
        <v>257463.85210693805</v>
      </c>
      <c r="N40" s="51">
        <f>N38+N37+N32+N31+N39</f>
        <v>0</v>
      </c>
      <c r="O40" s="52">
        <f t="shared" si="16"/>
        <v>257463.85210693805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14594.307036159131</v>
      </c>
      <c r="E42" s="22">
        <v>0</v>
      </c>
      <c r="F42" s="36">
        <f t="shared" si="13"/>
        <v>14594.307036159131</v>
      </c>
      <c r="G42" s="22">
        <v>27499.240910576369</v>
      </c>
      <c r="H42" s="22">
        <v>0</v>
      </c>
      <c r="I42" s="36">
        <f t="shared" si="17"/>
        <v>27499.240910576369</v>
      </c>
      <c r="J42" s="22">
        <v>27499.240910576369</v>
      </c>
      <c r="K42" s="22">
        <v>0</v>
      </c>
      <c r="L42" s="36">
        <f t="shared" si="15"/>
        <v>27499.240910576369</v>
      </c>
      <c r="M42" s="22">
        <v>27499.240910576369</v>
      </c>
      <c r="N42" s="22">
        <v>0</v>
      </c>
      <c r="O42" s="36">
        <f t="shared" si="16"/>
        <v>27499.240910576369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-167201.35008959554</v>
      </c>
      <c r="E44" s="57">
        <v>0</v>
      </c>
      <c r="F44" s="36">
        <f t="shared" si="13"/>
        <v>-167201.35008959554</v>
      </c>
      <c r="G44" s="57">
        <v>0</v>
      </c>
      <c r="H44" s="57">
        <v>0</v>
      </c>
      <c r="I44" s="36">
        <f t="shared" si="17"/>
        <v>0</v>
      </c>
      <c r="J44" s="57">
        <v>0</v>
      </c>
      <c r="K44" s="57">
        <v>0</v>
      </c>
      <c r="L44" s="36">
        <f t="shared" si="15"/>
        <v>0</v>
      </c>
      <c r="M44" s="57">
        <v>250000</v>
      </c>
      <c r="N44" s="57">
        <v>0</v>
      </c>
      <c r="O44" s="36">
        <f>M44+N44</f>
        <v>250000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160739.29296675688</v>
      </c>
      <c r="F45" s="36">
        <f>E45</f>
        <v>160739.29296675688</v>
      </c>
      <c r="G45" s="34"/>
      <c r="H45" s="22">
        <f>G47*0.1</f>
        <v>184101.76030362584</v>
      </c>
      <c r="I45" s="36">
        <f>H45</f>
        <v>184101.76030362584</v>
      </c>
      <c r="J45" s="34"/>
      <c r="K45" s="22">
        <f>J47*0.1</f>
        <v>180338.68362625758</v>
      </c>
      <c r="L45" s="36">
        <f>K45</f>
        <v>180338.68362625758</v>
      </c>
      <c r="M45" s="34"/>
      <c r="N45" s="22">
        <f>M47*0.1</f>
        <v>204265.41202844176</v>
      </c>
      <c r="O45" s="36">
        <f>N45</f>
        <v>204265.41202844176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1607392.9296675688</v>
      </c>
      <c r="E47" s="59">
        <f>E25+E30+E40+E41+E42+E43+E44+E45</f>
        <v>168636.49296675689</v>
      </c>
      <c r="F47" s="60">
        <f>D47+E47</f>
        <v>1776029.4226343257</v>
      </c>
      <c r="G47" s="59">
        <f>G25+G30+G40+G41+G42+G43+G44+G46</f>
        <v>1841017.6030362581</v>
      </c>
      <c r="H47" s="59">
        <f>H25+H30+H40+H41+H42+H43+H44+H45+H46</f>
        <v>191998.76030362584</v>
      </c>
      <c r="I47" s="60">
        <f>G47+H47</f>
        <v>2033016.363339884</v>
      </c>
      <c r="J47" s="59">
        <f>J25+J30+J40+J41+J42+J43+J44+J46</f>
        <v>1803386.8362625756</v>
      </c>
      <c r="K47" s="59">
        <f>K25+K30+K40+K41+K42+K43+K44+K45+K46</f>
        <v>188235.68362625758</v>
      </c>
      <c r="L47" s="60">
        <f>J47+K47</f>
        <v>1991622.5198888332</v>
      </c>
      <c r="M47" s="59">
        <f>M25+M30+M40+M41+M42+M43+M44+M46</f>
        <v>2042654.1202844174</v>
      </c>
      <c r="N47" s="59">
        <f>N25+N30+N40+N41+N42+N43+N44+N45+N46</f>
        <v>212162.41202844176</v>
      </c>
      <c r="O47" s="60">
        <f>M47+N47</f>
        <v>2254816.5323128593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4930681.2397526614</v>
      </c>
      <c r="E49" s="65">
        <v>733222.07391751604</v>
      </c>
      <c r="F49" s="65">
        <f>D49+E49</f>
        <v>5663903.313670177</v>
      </c>
      <c r="G49" s="65">
        <f>G50</f>
        <v>5182083.5506123649</v>
      </c>
      <c r="H49" s="65">
        <v>758362.10500348639</v>
      </c>
      <c r="I49" s="65">
        <f t="shared" ref="I49" si="21">G49+H49</f>
        <v>5940445.6556158513</v>
      </c>
      <c r="J49" s="65">
        <f>J50</f>
        <v>5443712.7422152581</v>
      </c>
      <c r="K49" s="65">
        <v>645820.92693623644</v>
      </c>
      <c r="L49" s="65">
        <f t="shared" ref="L49" si="22">J49+K49</f>
        <v>6089533.6691514943</v>
      </c>
      <c r="M49" s="65">
        <f>M50</f>
        <v>5593452.7975923838</v>
      </c>
      <c r="N49" s="65">
        <v>526105.35506123654</v>
      </c>
      <c r="O49" s="65">
        <f t="shared" ref="O49" si="23">M49+N49</f>
        <v>6119558.1526536206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4930681.2397526614</v>
      </c>
      <c r="E50" s="59">
        <f t="shared" si="24"/>
        <v>500965.32397526619</v>
      </c>
      <c r="F50" s="59">
        <f t="shared" si="24"/>
        <v>5431646.5637279274</v>
      </c>
      <c r="G50" s="59">
        <f>+G23+G47</f>
        <v>5182083.5506123649</v>
      </c>
      <c r="H50" s="59">
        <f t="shared" si="24"/>
        <v>526105.35506123654</v>
      </c>
      <c r="I50" s="59">
        <f t="shared" si="24"/>
        <v>5708188.9056736017</v>
      </c>
      <c r="J50" s="59">
        <f t="shared" si="24"/>
        <v>5443712.7422152581</v>
      </c>
      <c r="K50" s="59">
        <f t="shared" si="24"/>
        <v>552268.27422152588</v>
      </c>
      <c r="L50" s="59">
        <f t="shared" si="24"/>
        <v>5995981.0164367836</v>
      </c>
      <c r="M50" s="59">
        <f t="shared" si="24"/>
        <v>5593452.7975923838</v>
      </c>
      <c r="N50" s="59">
        <f t="shared" si="24"/>
        <v>567242.27975923836</v>
      </c>
      <c r="O50" s="59">
        <f t="shared" si="24"/>
        <v>6160695.0773516223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-167201.35008959554</v>
      </c>
      <c r="E51" s="68">
        <f>E44+E20</f>
        <v>0</v>
      </c>
      <c r="F51" s="146"/>
      <c r="G51" s="68">
        <f>G44+G20</f>
        <v>40267.270268140652</v>
      </c>
      <c r="H51" s="68">
        <f>H44+H20</f>
        <v>0</v>
      </c>
      <c r="I51" s="146"/>
      <c r="J51" s="68">
        <f>J44+J20</f>
        <v>339527.22864471667</v>
      </c>
      <c r="K51" s="68">
        <f>K44+K20</f>
        <v>0</v>
      </c>
      <c r="L51" s="146"/>
      <c r="M51" s="68">
        <f>M44+M20</f>
        <v>500000</v>
      </c>
      <c r="N51" s="68">
        <f>N44+N20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0.79769999999999996</v>
      </c>
      <c r="G53" s="72"/>
      <c r="H53" s="73"/>
      <c r="I53" s="74">
        <v>0.79769999999999996</v>
      </c>
      <c r="J53" s="72"/>
      <c r="K53" s="73"/>
      <c r="L53" s="74">
        <v>0.79769999999999996</v>
      </c>
      <c r="M53" s="72"/>
      <c r="N53" s="73"/>
      <c r="O53" s="74">
        <v>0.79769999999999996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16600.420999999998</v>
      </c>
      <c r="G54" s="34"/>
      <c r="H54" s="76"/>
      <c r="I54" s="77">
        <v>16600.420999999998</v>
      </c>
      <c r="J54" s="34"/>
      <c r="K54" s="76"/>
      <c r="L54" s="77">
        <v>16600.420999999998</v>
      </c>
      <c r="M54" s="34"/>
      <c r="N54" s="76"/>
      <c r="O54" s="77">
        <v>16600.420999999998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33.837463509697649</v>
      </c>
      <c r="G55" s="34"/>
      <c r="H55" s="76"/>
      <c r="I55" s="78">
        <v>31.02753196440019</v>
      </c>
      <c r="J55" s="34"/>
      <c r="K55" s="76"/>
      <c r="L55" s="78">
        <v>32.698053946529598</v>
      </c>
      <c r="M55" s="34"/>
      <c r="N55" s="76"/>
      <c r="O55" s="78">
        <v>34.357302550095383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37.481745883520396</v>
      </c>
      <c r="G56" s="81"/>
      <c r="H56" s="82"/>
      <c r="I56" s="78">
        <v>37.481745883520396</v>
      </c>
      <c r="J56" s="81"/>
      <c r="K56" s="82"/>
      <c r="L56" s="78">
        <v>37.481745883520396</v>
      </c>
      <c r="M56" s="81"/>
      <c r="N56" s="82"/>
      <c r="O56" s="78">
        <v>37.481745883520396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-1.0000000000000564E-2</v>
      </c>
      <c r="G59" s="87"/>
      <c r="H59" s="73"/>
      <c r="I59" s="86">
        <v>-1.0000000000000564E-2</v>
      </c>
      <c r="J59" s="72"/>
      <c r="K59" s="73"/>
      <c r="L59" s="88">
        <v>-1.0000000000000564E-2</v>
      </c>
      <c r="M59" s="72"/>
      <c r="N59" s="73"/>
      <c r="O59" s="88">
        <v>-1.0000000000000564E-2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-9.4456269892807254E-2</v>
      </c>
      <c r="G60" s="90"/>
      <c r="H60" s="76"/>
      <c r="I60" s="89">
        <v>-9.4456269892807254E-2</v>
      </c>
      <c r="J60" s="34"/>
      <c r="K60" s="91"/>
      <c r="L60" s="89">
        <v>-9.4456269892807254E-2</v>
      </c>
      <c r="M60" s="34"/>
      <c r="N60" s="76"/>
      <c r="O60" s="89">
        <v>-9.4456269892807254E-2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-0.10445626989280782</v>
      </c>
      <c r="G61" s="90"/>
      <c r="H61" s="76"/>
      <c r="I61" s="92">
        <v>-0.10445626989280782</v>
      </c>
      <c r="J61" s="34"/>
      <c r="K61" s="76"/>
      <c r="L61" s="93">
        <v>-0.10445626989280782</v>
      </c>
      <c r="M61" s="34"/>
      <c r="N61" s="76"/>
      <c r="O61" s="92">
        <v>-0.10445626989280782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0.89554373010719224</v>
      </c>
      <c r="G62" s="95"/>
      <c r="H62" s="82"/>
      <c r="I62" s="94">
        <v>0.89554373010719224</v>
      </c>
      <c r="J62" s="81"/>
      <c r="K62" s="82"/>
      <c r="L62" s="94">
        <v>0.89554373010719224</v>
      </c>
      <c r="M62" s="81"/>
      <c r="N62" s="82"/>
      <c r="O62" s="94">
        <v>0.89554373010719224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1.00000001E-3</v>
      </c>
      <c r="G66" s="34"/>
      <c r="H66" s="76"/>
      <c r="I66" s="104">
        <v>1.00000001E-3</v>
      </c>
      <c r="J66" s="34"/>
      <c r="K66" s="76"/>
      <c r="L66" s="104">
        <v>1.00000001E-3</v>
      </c>
      <c r="M66" s="34"/>
      <c r="N66" s="76"/>
      <c r="O66" s="104">
        <v>1.00000001E-3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6.5999999990000002E-2</v>
      </c>
      <c r="G70" s="34"/>
      <c r="H70" s="76"/>
      <c r="I70" s="105">
        <v>6.5999999990000002E-2</v>
      </c>
      <c r="J70" s="34"/>
      <c r="K70" s="76"/>
      <c r="L70" s="105">
        <v>6.5999999990000002E-2</v>
      </c>
      <c r="M70" s="34"/>
      <c r="N70" s="76"/>
      <c r="O70" s="105">
        <v>6.5999999990000002E-2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1.0659999999900001</v>
      </c>
      <c r="G71" s="34"/>
      <c r="H71" s="76"/>
      <c r="I71" s="106">
        <v>1.0659999999900001</v>
      </c>
      <c r="J71" s="34"/>
      <c r="K71" s="76"/>
      <c r="L71" s="106">
        <v>1.0659999999900001</v>
      </c>
      <c r="M71" s="34"/>
      <c r="N71" s="76"/>
      <c r="O71" s="106">
        <v>1.0659999999900001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5431646.5637279274</v>
      </c>
      <c r="G72" s="34"/>
      <c r="H72" s="76"/>
      <c r="I72" s="108">
        <f>I50</f>
        <v>5708188.9056736017</v>
      </c>
      <c r="J72" s="34"/>
      <c r="K72" s="76"/>
      <c r="L72" s="108">
        <f>L50</f>
        <v>5995981.0164367836</v>
      </c>
      <c r="M72" s="34"/>
      <c r="N72" s="76"/>
      <c r="O72" s="108">
        <f>O50</f>
        <v>6160695.0773516223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2985655.8456816692</v>
      </c>
      <c r="G73" s="34"/>
      <c r="H73" s="76"/>
      <c r="I73" s="110">
        <f>F81</f>
        <v>3508556.571297172</v>
      </c>
      <c r="J73" s="34"/>
      <c r="K73" s="76"/>
      <c r="L73" s="110">
        <f>I81</f>
        <v>3483480.5941051352</v>
      </c>
      <c r="M73" s="34"/>
      <c r="N73" s="76"/>
      <c r="O73" s="110">
        <f>L81</f>
        <v>4004358.4965479509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2165045.0863183318</v>
      </c>
      <c r="G74" s="34"/>
      <c r="H74" s="76"/>
      <c r="I74" s="110">
        <f>F82</f>
        <v>1923089.9924307556</v>
      </c>
      <c r="J74" s="34"/>
      <c r="K74" s="76"/>
      <c r="L74" s="110">
        <f>I82</f>
        <v>2224708.311568466</v>
      </c>
      <c r="M74" s="34"/>
      <c r="N74" s="76"/>
      <c r="O74" s="110">
        <f>L82</f>
        <v>1991622.5198888329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5150700.932000001</v>
      </c>
      <c r="G75" s="34"/>
      <c r="H75" s="76"/>
      <c r="I75" s="111">
        <f>SUM(I73:I74)</f>
        <v>5431646.5637279274</v>
      </c>
      <c r="J75" s="34"/>
      <c r="K75" s="76"/>
      <c r="L75" s="111">
        <f>SUM(L73:L74)</f>
        <v>5708188.9056736007</v>
      </c>
      <c r="M75" s="34"/>
      <c r="N75" s="76"/>
      <c r="O75" s="111">
        <f>SUM(O73:O74)</f>
        <v>5995981.0164367836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1.0545451260783716</v>
      </c>
      <c r="G76" s="81"/>
      <c r="H76" s="82"/>
      <c r="I76" s="112">
        <f>I72/I75</f>
        <v>1.0509131694599572</v>
      </c>
      <c r="J76" s="81"/>
      <c r="K76" s="82"/>
      <c r="L76" s="112">
        <f>L72/L75</f>
        <v>1.0504174118129017</v>
      </c>
      <c r="M76" s="81"/>
      <c r="N76" s="82"/>
      <c r="O76" s="112">
        <f>O72/O75</f>
        <v>1.0274707442307285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5431646.5637279274</v>
      </c>
      <c r="G78" s="73"/>
      <c r="H78" s="73"/>
      <c r="I78" s="115">
        <f>IF(I72&lt;=I75*I71,I72,I75*I71)</f>
        <v>5708188.9056736017</v>
      </c>
      <c r="J78" s="73"/>
      <c r="K78" s="73"/>
      <c r="L78" s="115">
        <f>IF(L72&lt;=L75*L71,L72,L75*L71)</f>
        <v>5995981.0164367836</v>
      </c>
      <c r="M78" s="73"/>
      <c r="N78" s="73"/>
      <c r="O78" s="115">
        <f>IF(O72&lt;=O75*O71,O72,O75*O71)</f>
        <v>6160695.0773516223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3323288.3100850922</v>
      </c>
      <c r="E81" s="120">
        <v>185268.26121207961</v>
      </c>
      <c r="F81" s="115">
        <f>D81+E81</f>
        <v>3508556.571297172</v>
      </c>
      <c r="G81" s="119">
        <f>G23-I79</f>
        <v>3341065.947576107</v>
      </c>
      <c r="H81" s="120">
        <v>142414.64652902825</v>
      </c>
      <c r="I81" s="115">
        <f>G81+H81</f>
        <v>3483480.5941051352</v>
      </c>
      <c r="J81" s="119">
        <f>J23-L79</f>
        <v>3640325.9059526827</v>
      </c>
      <c r="K81" s="120">
        <f>K23-L79</f>
        <v>364032.5905952683</v>
      </c>
      <c r="L81" s="115">
        <f>J81+K81</f>
        <v>4004358.4965479509</v>
      </c>
      <c r="M81" s="119">
        <f>M23-O79</f>
        <v>3550798.6773079662</v>
      </c>
      <c r="N81" s="120">
        <f>N23-P79</f>
        <v>355079.86773079663</v>
      </c>
      <c r="O81" s="115">
        <f>M81+N81</f>
        <v>3905878.545038763</v>
      </c>
    </row>
    <row r="82" spans="1:52" s="14" customFormat="1" ht="20" customHeight="1" thickBot="1">
      <c r="B82" s="118" t="s">
        <v>72</v>
      </c>
      <c r="D82" s="121">
        <f>D50-D81-F79</f>
        <v>1607392.9296675692</v>
      </c>
      <c r="E82" s="122">
        <v>315697.06276318646</v>
      </c>
      <c r="F82" s="123">
        <f>D82+E82</f>
        <v>1923089.9924307556</v>
      </c>
      <c r="G82" s="121">
        <f>G49-G81-I79</f>
        <v>1841017.6030362579</v>
      </c>
      <c r="H82" s="122">
        <v>383690.70853220823</v>
      </c>
      <c r="I82" s="123">
        <f>G82+H82</f>
        <v>2224708.311568466</v>
      </c>
      <c r="J82" s="121">
        <f>J50-J81-L79</f>
        <v>1803386.8362625754</v>
      </c>
      <c r="K82" s="122">
        <f>K50-K81-L79</f>
        <v>188235.68362625758</v>
      </c>
      <c r="L82" s="123">
        <f>J82+K82</f>
        <v>1991622.5198888329</v>
      </c>
      <c r="M82" s="121">
        <f>M50-M81-O79</f>
        <v>2042654.1202844176</v>
      </c>
      <c r="N82" s="122">
        <f>N50-N81-P79</f>
        <v>212162.41202844173</v>
      </c>
      <c r="O82" s="123">
        <f>M82+N82</f>
        <v>2254816.5323128593</v>
      </c>
    </row>
    <row r="83" spans="1:52" s="124" customFormat="1" ht="17.25" customHeight="1" thickBot="1">
      <c r="B83" s="125" t="s">
        <v>73</v>
      </c>
      <c r="C83" s="14"/>
      <c r="D83" s="126">
        <f>SUM(D81:D82)</f>
        <v>4930681.2397526614</v>
      </c>
      <c r="E83" s="127">
        <f t="shared" ref="E83:O83" si="25">SUM(E81:E82)</f>
        <v>500965.32397526607</v>
      </c>
      <c r="F83" s="128">
        <f t="shared" si="25"/>
        <v>5431646.5637279274</v>
      </c>
      <c r="G83" s="126">
        <f t="shared" si="25"/>
        <v>5182083.5506123649</v>
      </c>
      <c r="H83" s="127">
        <f t="shared" si="25"/>
        <v>526105.35506123654</v>
      </c>
      <c r="I83" s="128">
        <f t="shared" si="25"/>
        <v>5708188.9056736007</v>
      </c>
      <c r="J83" s="126">
        <f t="shared" si="25"/>
        <v>5443712.7422152581</v>
      </c>
      <c r="K83" s="127">
        <f t="shared" si="25"/>
        <v>552268.27422152588</v>
      </c>
      <c r="L83" s="128">
        <f t="shared" si="25"/>
        <v>5995981.0164367836</v>
      </c>
      <c r="M83" s="126">
        <f t="shared" si="25"/>
        <v>5593452.7975923838</v>
      </c>
      <c r="N83" s="127">
        <f t="shared" si="25"/>
        <v>567242.27975923836</v>
      </c>
      <c r="O83" s="128">
        <f t="shared" si="25"/>
        <v>6160695.0773516223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3508556.571297172</v>
      </c>
      <c r="G88" s="72"/>
      <c r="H88" s="73"/>
      <c r="I88" s="136">
        <f>I81-I85</f>
        <v>3483480.5941051352</v>
      </c>
      <c r="J88" s="72"/>
      <c r="K88" s="73"/>
      <c r="L88" s="136">
        <f>L81-L85</f>
        <v>4004358.4965479509</v>
      </c>
      <c r="M88" s="72"/>
      <c r="N88" s="73"/>
      <c r="O88" s="136">
        <f>O81-O85</f>
        <v>3905878.545038763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1923089.9924307556</v>
      </c>
      <c r="G89" s="34"/>
      <c r="H89" s="76"/>
      <c r="I89" s="138">
        <f>I82-I86</f>
        <v>2224708.311568466</v>
      </c>
      <c r="J89" s="34"/>
      <c r="K89" s="76"/>
      <c r="L89" s="138">
        <f>L82-L86</f>
        <v>1991622.5198888329</v>
      </c>
      <c r="M89" s="34"/>
      <c r="N89" s="76"/>
      <c r="O89" s="138">
        <f>O82-O86</f>
        <v>2254816.5323128593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5431646.5637279274</v>
      </c>
      <c r="G90" s="81"/>
      <c r="H90" s="82"/>
      <c r="I90" s="139">
        <f>+I88+I89</f>
        <v>5708188.9056736007</v>
      </c>
      <c r="J90" s="81"/>
      <c r="K90" s="82"/>
      <c r="L90" s="139">
        <f>+L88+L89</f>
        <v>5995981.0164367836</v>
      </c>
      <c r="M90" s="81"/>
      <c r="N90" s="82"/>
      <c r="O90" s="139">
        <f>+O88+O89</f>
        <v>6160695.0773516223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-2342.0760485689971</v>
      </c>
      <c r="E92" s="143">
        <v>0</v>
      </c>
      <c r="F92" s="144">
        <f>D92+E92</f>
        <v>-2342.0760485689971</v>
      </c>
      <c r="G92" s="142">
        <v>-111028.15024777874</v>
      </c>
      <c r="H92" s="143">
        <v>0</v>
      </c>
      <c r="I92" s="144">
        <f>G92+H92</f>
        <v>-111028.15024777874</v>
      </c>
      <c r="J92" s="142">
        <v>-111028.15024777874</v>
      </c>
      <c r="K92" s="143">
        <v>0</v>
      </c>
      <c r="L92" s="144">
        <f>J92+K92</f>
        <v>-111028.15024777874</v>
      </c>
      <c r="M92" s="142">
        <v>-111028.15024777874</v>
      </c>
      <c r="N92" s="143">
        <v>0</v>
      </c>
      <c r="O92" s="144">
        <f>M92+N92</f>
        <v>-111028.15024777874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5255073.7939644521</v>
      </c>
      <c r="E96" s="166">
        <f>E6+E7+E8+E9+E11+E25+E30+E40+E42+E21+E45</f>
        <v>500965.32397526619</v>
      </c>
      <c r="F96" s="166">
        <f t="shared" ref="F96" si="26">F6+F7+F8+F9+F11+F25+F30+F40+F42</f>
        <v>5262970.9939644523</v>
      </c>
      <c r="G96" s="166">
        <f t="shared" ref="G96" si="27">G6+G7+G8+G9+G11+G25+G30+G40+G42+G21+G45</f>
        <v>5298850.4502964672</v>
      </c>
      <c r="H96" s="166">
        <f t="shared" ref="H96" si="28">H6+H7+H8+H9+H11+H25+H30+H40+H42</f>
        <v>7897</v>
      </c>
      <c r="I96" s="166">
        <f t="shared" ref="I96" si="29">I6+I7+I8+I9+I11+I25+I30+I40+I42+I21+I45</f>
        <v>5824955.8053577039</v>
      </c>
      <c r="J96" s="166">
        <f t="shared" ref="J96" si="30">J6+J7+J8+J9+J11+J25+J30+J40+J42</f>
        <v>5261219.6835227851</v>
      </c>
      <c r="K96" s="166">
        <f t="shared" ref="K96" si="31">K6+K7+K8+K9+K11+K25+K30+K40+K42+K21+K45</f>
        <v>552268.27422152588</v>
      </c>
      <c r="L96" s="166">
        <f t="shared" ref="L96" si="32">L6+L7+L8+L9+L11+L25+L30+L40+L42</f>
        <v>5269116.6835227851</v>
      </c>
      <c r="M96" s="166">
        <f t="shared" ref="M96" si="33">M6+M7+M8+M9+M11+M25+M30+M40+M42+M21+M45</f>
        <v>5250486.9675446264</v>
      </c>
      <c r="N96" s="166">
        <f>N6+N7+N8+N9+N11+N25+N30+N40+N42+N21+N45</f>
        <v>567242.27975923836</v>
      </c>
      <c r="O96" s="166">
        <f t="shared" ref="O96" si="34">O6+O7+O8+O9+O11+O25+O30+O40+O42+O21+O45</f>
        <v>5817729.2473038649</v>
      </c>
    </row>
    <row r="97" spans="4:15" s="14" customFormat="1">
      <c r="D97" s="166">
        <f>D96-D15-D19</f>
        <v>5097882.5898422562</v>
      </c>
      <c r="E97" s="166">
        <f>E96-E15-E19</f>
        <v>500965.32397526619</v>
      </c>
      <c r="F97" s="166">
        <f t="shared" ref="F97:O97" si="35">F96-F15-F19</f>
        <v>5105779.7898422563</v>
      </c>
      <c r="G97" s="166">
        <f t="shared" si="35"/>
        <v>5141816.2803442236</v>
      </c>
      <c r="H97" s="166">
        <f t="shared" si="35"/>
        <v>7897</v>
      </c>
      <c r="I97" s="166">
        <f t="shared" si="35"/>
        <v>5667921.6354054604</v>
      </c>
      <c r="J97" s="166">
        <f t="shared" si="35"/>
        <v>5104185.5135705415</v>
      </c>
      <c r="K97" s="166">
        <f t="shared" si="35"/>
        <v>552268.27422152588</v>
      </c>
      <c r="L97" s="166">
        <f t="shared" si="35"/>
        <v>5112082.5135705415</v>
      </c>
      <c r="M97" s="166">
        <f t="shared" si="35"/>
        <v>5093452.7975923829</v>
      </c>
      <c r="N97" s="166">
        <f t="shared" si="35"/>
        <v>567242.27975923836</v>
      </c>
      <c r="O97" s="166">
        <f t="shared" si="35"/>
        <v>5660695.0773516214</v>
      </c>
    </row>
    <row r="98" spans="4:15" s="14" customFormat="1">
      <c r="D98" s="166">
        <f>D20+D44</f>
        <v>-167201.35008959554</v>
      </c>
      <c r="E98" s="166">
        <f>E20+E44</f>
        <v>0</v>
      </c>
      <c r="F98" s="166">
        <f t="shared" ref="F98:O98" si="36">F20+F44</f>
        <v>-167201.35008959554</v>
      </c>
      <c r="G98" s="166">
        <f t="shared" si="36"/>
        <v>40267.270268140652</v>
      </c>
      <c r="H98" s="166">
        <f t="shared" si="36"/>
        <v>0</v>
      </c>
      <c r="I98" s="166">
        <f t="shared" si="36"/>
        <v>40267.270268140652</v>
      </c>
      <c r="J98" s="166">
        <f t="shared" si="36"/>
        <v>339527.22864471667</v>
      </c>
      <c r="K98" s="166">
        <f t="shared" si="36"/>
        <v>0</v>
      </c>
      <c r="L98" s="166">
        <f t="shared" si="36"/>
        <v>339527.22864471667</v>
      </c>
      <c r="M98" s="166">
        <f t="shared" si="36"/>
        <v>500000</v>
      </c>
      <c r="N98" s="166">
        <f t="shared" si="36"/>
        <v>0</v>
      </c>
      <c r="O98" s="166">
        <f t="shared" si="36"/>
        <v>500000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229" priority="7" operator="containsText" text="ERRORE">
      <formula>NOT(ISERROR(SEARCH("ERRORE",F81)))</formula>
    </cfRule>
  </conditionalFormatting>
  <conditionalFormatting sqref="I83">
    <cfRule type="containsText" dxfId="228" priority="6" operator="containsText" text="ERRORE">
      <formula>NOT(ISERROR(SEARCH("ERRORE",I83)))</formula>
    </cfRule>
  </conditionalFormatting>
  <conditionalFormatting sqref="I81:I82">
    <cfRule type="containsText" dxfId="227" priority="5" operator="containsText" text="ERRORE">
      <formula>NOT(ISERROR(SEARCH("ERRORE",I81)))</formula>
    </cfRule>
  </conditionalFormatting>
  <conditionalFormatting sqref="L83">
    <cfRule type="containsText" dxfId="226" priority="4" operator="containsText" text="ERRORE">
      <formula>NOT(ISERROR(SEARCH("ERRORE",L83)))</formula>
    </cfRule>
  </conditionalFormatting>
  <conditionalFormatting sqref="L81:L82">
    <cfRule type="containsText" dxfId="225" priority="3" operator="containsText" text="ERRORE">
      <formula>NOT(ISERROR(SEARCH("ERRORE",L81)))</formula>
    </cfRule>
  </conditionalFormatting>
  <conditionalFormatting sqref="O83">
    <cfRule type="containsText" dxfId="224" priority="2" operator="containsText" text="ERRORE">
      <formula>NOT(ISERROR(SEARCH("ERRORE",O83)))</formula>
    </cfRule>
  </conditionalFormatting>
  <conditionalFormatting sqref="O81:O82">
    <cfRule type="containsText" dxfId="223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C84" zoomScale="70" zoomScaleNormal="70" zoomScalePageLayoutView="70" workbookViewId="0">
      <selection activeCell="F90" sqref="F90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86</v>
      </c>
      <c r="B1" s="2" t="str">
        <f>"       PEF 2022 - 2025"&amp;" - "&amp;A1</f>
        <v xml:space="preserve">       PEF 2022 - 2025 - Cavarzere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124</v>
      </c>
      <c r="E4" s="188"/>
      <c r="F4" s="189"/>
      <c r="G4" s="187" t="str">
        <f>D4</f>
        <v>Ambito tariffario: Cavarzere</v>
      </c>
      <c r="H4" s="188"/>
      <c r="I4" s="189"/>
      <c r="J4" s="187" t="str">
        <f>D4</f>
        <v>Ambito tariffario: Cavarzere</v>
      </c>
      <c r="K4" s="188"/>
      <c r="L4" s="189"/>
      <c r="M4" s="187" t="str">
        <f>D4</f>
        <v>Ambito tariffario: Cavarzere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239421.88951833308</v>
      </c>
      <c r="E6" s="22">
        <v>0</v>
      </c>
      <c r="F6" s="23">
        <f>D6+E6</f>
        <v>239421.88951833308</v>
      </c>
      <c r="G6" s="22">
        <v>247670.88357502432</v>
      </c>
      <c r="H6" s="22">
        <v>0</v>
      </c>
      <c r="I6" s="23">
        <f>G6+H6</f>
        <v>247670.88357502432</v>
      </c>
      <c r="J6" s="22">
        <v>247670.88357502432</v>
      </c>
      <c r="K6" s="22">
        <v>0</v>
      </c>
      <c r="L6" s="23">
        <f>J6+K6</f>
        <v>247670.88357502432</v>
      </c>
      <c r="M6" s="22">
        <v>247670.88357502432</v>
      </c>
      <c r="N6" s="22">
        <v>0</v>
      </c>
      <c r="O6" s="23">
        <f>M6+N6</f>
        <v>247670.88357502432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285422.90618907131</v>
      </c>
      <c r="E7" s="22">
        <v>0</v>
      </c>
      <c r="F7" s="23">
        <f t="shared" ref="F7:F20" si="0">D7+E7</f>
        <v>285422.90618907131</v>
      </c>
      <c r="G7" s="22">
        <v>298775.41570040851</v>
      </c>
      <c r="H7" s="22">
        <v>0</v>
      </c>
      <c r="I7" s="23">
        <f t="shared" ref="I7:I13" si="1">G7+H7</f>
        <v>298775.41570040851</v>
      </c>
      <c r="J7" s="22">
        <v>298775.41570040851</v>
      </c>
      <c r="K7" s="22">
        <v>0</v>
      </c>
      <c r="L7" s="23">
        <f t="shared" ref="L7:L12" si="2">J7+K7</f>
        <v>298775.41570040851</v>
      </c>
      <c r="M7" s="22">
        <v>298775.41570040851</v>
      </c>
      <c r="N7" s="22">
        <v>0</v>
      </c>
      <c r="O7" s="23">
        <f t="shared" ref="O7:O13" si="3">M7+N7</f>
        <v>298775.41570040851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229913.02958088098</v>
      </c>
      <c r="E8" s="22">
        <v>0</v>
      </c>
      <c r="F8" s="23">
        <f t="shared" si="0"/>
        <v>229913.02958088098</v>
      </c>
      <c r="G8" s="22">
        <v>240674.34271738736</v>
      </c>
      <c r="H8" s="22">
        <v>0</v>
      </c>
      <c r="I8" s="23">
        <f t="shared" si="1"/>
        <v>240674.34271738736</v>
      </c>
      <c r="J8" s="22">
        <v>240674.34271738736</v>
      </c>
      <c r="K8" s="22">
        <v>0</v>
      </c>
      <c r="L8" s="23">
        <f t="shared" si="2"/>
        <v>240674.34271738736</v>
      </c>
      <c r="M8" s="22">
        <v>240674.34271738736</v>
      </c>
      <c r="N8" s="22">
        <v>0</v>
      </c>
      <c r="O8" s="23">
        <f t="shared" si="3"/>
        <v>240674.34271738736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542889.51389913505</v>
      </c>
      <c r="E9" s="22">
        <v>0</v>
      </c>
      <c r="F9" s="23">
        <f t="shared" si="0"/>
        <v>542889.51389913505</v>
      </c>
      <c r="G9" s="22">
        <v>558222.77636840171</v>
      </c>
      <c r="H9" s="22">
        <v>0</v>
      </c>
      <c r="I9" s="23">
        <f t="shared" si="1"/>
        <v>558222.77636840171</v>
      </c>
      <c r="J9" s="22">
        <v>558222.77636840171</v>
      </c>
      <c r="K9" s="22">
        <v>0</v>
      </c>
      <c r="L9" s="23">
        <f t="shared" si="2"/>
        <v>558222.77636840171</v>
      </c>
      <c r="M9" s="22">
        <v>558222.77636840171</v>
      </c>
      <c r="N9" s="22">
        <v>0</v>
      </c>
      <c r="O9" s="23">
        <f t="shared" si="3"/>
        <v>558222.77636840171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5645.8568609687391</v>
      </c>
      <c r="E11" s="22">
        <v>0</v>
      </c>
      <c r="F11" s="23">
        <f t="shared" si="0"/>
        <v>5645.8568609687391</v>
      </c>
      <c r="G11" s="22">
        <v>5645.8568609687391</v>
      </c>
      <c r="H11" s="22">
        <v>0</v>
      </c>
      <c r="I11" s="23">
        <f t="shared" si="1"/>
        <v>5645.8568609687391</v>
      </c>
      <c r="J11" s="22">
        <v>5645.8568609687391</v>
      </c>
      <c r="K11" s="22">
        <v>0</v>
      </c>
      <c r="L11" s="23">
        <f t="shared" si="2"/>
        <v>5645.8568609687391</v>
      </c>
      <c r="M11" s="22">
        <v>5645.8568609687391</v>
      </c>
      <c r="N11" s="22">
        <v>0</v>
      </c>
      <c r="O11" s="23">
        <f t="shared" si="3"/>
        <v>5645.8568609687391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195405.53546579432</v>
      </c>
      <c r="E13" s="22">
        <v>0</v>
      </c>
      <c r="F13" s="23">
        <f t="shared" si="0"/>
        <v>195405.53546579432</v>
      </c>
      <c r="G13" s="22">
        <v>195210.32514065373</v>
      </c>
      <c r="H13" s="22">
        <v>0</v>
      </c>
      <c r="I13" s="23">
        <f t="shared" si="1"/>
        <v>195210.32514065373</v>
      </c>
      <c r="J13" s="22">
        <v>195210.32514065373</v>
      </c>
      <c r="K13" s="22">
        <v>0</v>
      </c>
      <c r="L13" s="23">
        <f>J13+K13</f>
        <v>195210.32514065373</v>
      </c>
      <c r="M13" s="22">
        <v>195210.32514065373</v>
      </c>
      <c r="N13" s="22">
        <v>0</v>
      </c>
      <c r="O13" s="23">
        <f t="shared" si="3"/>
        <v>195210.32514065373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117243.32127947659</v>
      </c>
      <c r="E15" s="22">
        <v>0</v>
      </c>
      <c r="F15" s="23">
        <f t="shared" si="0"/>
        <v>117243.32127947659</v>
      </c>
      <c r="G15" s="22">
        <v>117126.19508439224</v>
      </c>
      <c r="H15" s="22">
        <v>0</v>
      </c>
      <c r="I15" s="23">
        <f t="shared" ref="I15:I16" si="4">G15+H15</f>
        <v>117126.19508439224</v>
      </c>
      <c r="J15" s="22">
        <v>117126.19508439224</v>
      </c>
      <c r="K15" s="22">
        <v>0</v>
      </c>
      <c r="L15" s="23">
        <f t="shared" ref="L15:L16" si="5">J15+K15</f>
        <v>117126.19508439224</v>
      </c>
      <c r="M15" s="22">
        <v>117126.19508439224</v>
      </c>
      <c r="N15" s="22">
        <v>0</v>
      </c>
      <c r="O15" s="23">
        <f t="shared" ref="O15:O16" si="6">M15+N15</f>
        <v>117126.19508439224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2496.0105190699419</v>
      </c>
      <c r="E16" s="22">
        <v>0</v>
      </c>
      <c r="F16" s="23">
        <f t="shared" si="0"/>
        <v>2496.0105190699419</v>
      </c>
      <c r="G16" s="22">
        <v>2493.5170020678747</v>
      </c>
      <c r="H16" s="22">
        <v>0</v>
      </c>
      <c r="I16" s="23">
        <f t="shared" si="4"/>
        <v>2493.5170020678747</v>
      </c>
      <c r="J16" s="22">
        <v>2493.5170020678747</v>
      </c>
      <c r="K16" s="22">
        <v>0</v>
      </c>
      <c r="L16" s="23">
        <f t="shared" si="5"/>
        <v>2493.5170020678747</v>
      </c>
      <c r="M16" s="22">
        <v>2493.5170020678747</v>
      </c>
      <c r="N16" s="22">
        <v>0</v>
      </c>
      <c r="O16" s="23">
        <f t="shared" si="6"/>
        <v>2493.5170020678747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0.3</v>
      </c>
      <c r="E17" s="29">
        <v>0.3</v>
      </c>
      <c r="F17" s="30">
        <f>D17</f>
        <v>0.3</v>
      </c>
      <c r="G17" s="29">
        <v>0.3</v>
      </c>
      <c r="H17" s="29">
        <v>0.3</v>
      </c>
      <c r="I17" s="30">
        <f>G17</f>
        <v>0.3</v>
      </c>
      <c r="J17" s="29">
        <v>0.3</v>
      </c>
      <c r="K17" s="29">
        <v>0.3</v>
      </c>
      <c r="L17" s="30">
        <v>0.3</v>
      </c>
      <c r="M17" s="29">
        <v>0.3</v>
      </c>
      <c r="N17" s="29">
        <v>0.3</v>
      </c>
      <c r="O17" s="30">
        <f>N17</f>
        <v>0.3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0.78</v>
      </c>
      <c r="E18" s="29">
        <v>0.78</v>
      </c>
      <c r="F18" s="31">
        <f>IF(D18=E18,D18,"n.d.")</f>
        <v>0.78</v>
      </c>
      <c r="G18" s="29">
        <v>0.78</v>
      </c>
      <c r="H18" s="29">
        <v>0.78</v>
      </c>
      <c r="I18" s="31">
        <f>IF(G18=H18,G18,"n.d.")</f>
        <v>0.78</v>
      </c>
      <c r="J18" s="29">
        <v>0.78</v>
      </c>
      <c r="K18" s="29">
        <v>0.78</v>
      </c>
      <c r="L18" s="31">
        <f>IF(J18=K18,J18,"n.d.")</f>
        <v>0.78</v>
      </c>
      <c r="M18" s="29">
        <v>0.78</v>
      </c>
      <c r="N18" s="29">
        <v>0.78</v>
      </c>
      <c r="O18" s="31">
        <f>IF(M18=N18,M18,"n.d.")</f>
        <v>0.78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1946.8882048745547</v>
      </c>
      <c r="E19" s="22">
        <v>0</v>
      </c>
      <c r="F19" s="23">
        <f t="shared" si="0"/>
        <v>1946.8882048745547</v>
      </c>
      <c r="G19" s="22">
        <v>1944.9432616129423</v>
      </c>
      <c r="H19" s="22">
        <v>0</v>
      </c>
      <c r="I19" s="23">
        <f t="shared" ref="I19:I20" si="7">G19+H19</f>
        <v>1944.9432616129423</v>
      </c>
      <c r="J19" s="22">
        <v>1944.9432616129423</v>
      </c>
      <c r="K19" s="22">
        <v>0</v>
      </c>
      <c r="L19" s="23">
        <f t="shared" ref="L19:L20" si="8">J19+K19</f>
        <v>1944.9432616129423</v>
      </c>
      <c r="M19" s="32">
        <v>1944.9432616129423</v>
      </c>
      <c r="N19" s="33">
        <v>0</v>
      </c>
      <c r="O19" s="23">
        <f t="shared" ref="O19:O20" si="9">M19+N19</f>
        <v>1944.9432616129423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51378.050177767494</v>
      </c>
      <c r="E20" s="22">
        <v>0</v>
      </c>
      <c r="F20" s="23">
        <f t="shared" si="0"/>
        <v>51378.050177767494</v>
      </c>
      <c r="G20" s="22">
        <v>99276.606678124212</v>
      </c>
      <c r="H20" s="22">
        <v>0</v>
      </c>
      <c r="I20" s="23">
        <f t="shared" si="7"/>
        <v>99276.606678124212</v>
      </c>
      <c r="J20" s="22">
        <v>20069.499999999996</v>
      </c>
      <c r="K20" s="22">
        <v>0</v>
      </c>
      <c r="L20" s="23">
        <f t="shared" si="8"/>
        <v>20069.499999999996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D24</f>
        <v>167143.09325867816</v>
      </c>
      <c r="F21" s="23">
        <f>E21</f>
        <v>167143.09325867816</v>
      </c>
      <c r="G21" s="34"/>
      <c r="H21" s="22">
        <v>178114.96576467846</v>
      </c>
      <c r="I21" s="23">
        <f>H21</f>
        <v>178114.96576467846</v>
      </c>
      <c r="J21" s="34"/>
      <c r="K21" s="22">
        <v>190606.22287851293</v>
      </c>
      <c r="L21" s="23">
        <f>K21</f>
        <v>190606.22287851293</v>
      </c>
      <c r="M21" s="34"/>
      <c r="N21" s="22">
        <f>M23*0.1</f>
        <v>133813.26823307309</v>
      </c>
      <c r="O21" s="23">
        <f>N21</f>
        <v>133813.26823307309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>
        <v>106214.54545454544</v>
      </c>
      <c r="N22" s="22">
        <v>0</v>
      </c>
      <c r="O22" s="36">
        <f t="shared" ref="O22" si="12">M22+N22</f>
        <v>106214.54545454544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1235481.0367418055</v>
      </c>
      <c r="E23" s="38">
        <f>E6+E7+E8+E9+E10+E11+E12-E15-E19+E20+E21</f>
        <v>167143.09325867816</v>
      </c>
      <c r="F23" s="38">
        <f>D23+E23</f>
        <v>1402624.1300004837</v>
      </c>
      <c r="G23" s="38">
        <f>G6+G7+G8+G9+G10+G11+G12-G15-G19+G20+G22</f>
        <v>1331194.7435543097</v>
      </c>
      <c r="H23" s="38">
        <f>H6+H7+H8+H9+H10+H11+H12-H15-H19+H20+H21+H22</f>
        <v>178114.96576467846</v>
      </c>
      <c r="I23" s="38">
        <f>G23+H23</f>
        <v>1509309.7093189883</v>
      </c>
      <c r="J23" s="38">
        <f>J6+J7+J8+J9+J10+J11+J12-J15-J19+J20+J22</f>
        <v>1251987.6368761854</v>
      </c>
      <c r="K23" s="38">
        <f>K6+K7+K8+K9+K10+K11+K12-K15-K19+K20+K21+K22</f>
        <v>190606.22287851293</v>
      </c>
      <c r="L23" s="38">
        <f>J23+K23</f>
        <v>1442593.8597546984</v>
      </c>
      <c r="M23" s="38">
        <f>M6+M7+M8+M9+M10+M11+M12-M15-M19+M20+M22</f>
        <v>1338132.6823307308</v>
      </c>
      <c r="N23" s="38">
        <f>N6+N7+N8+N9+N10+N11+N12-N15-N19+N20+N21+N22</f>
        <v>133813.26823307309</v>
      </c>
      <c r="O23" s="38">
        <f>M23+N23</f>
        <v>1471945.950563804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>
        <v>167143.09325867816</v>
      </c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283963.65231483098</v>
      </c>
      <c r="E25" s="44">
        <v>0</v>
      </c>
      <c r="F25" s="45">
        <f t="shared" ref="F25:F44" si="13">D25+E25</f>
        <v>283963.65231483098</v>
      </c>
      <c r="G25" s="44">
        <v>296814.99604189483</v>
      </c>
      <c r="H25" s="44">
        <v>0</v>
      </c>
      <c r="I25" s="45">
        <f t="shared" ref="I25:I33" si="14">G25+H25</f>
        <v>296814.99604189483</v>
      </c>
      <c r="J25" s="44">
        <v>296814.99604189483</v>
      </c>
      <c r="K25" s="44">
        <v>0</v>
      </c>
      <c r="L25" s="45">
        <f t="shared" ref="L25:L44" si="15">J25+K25</f>
        <v>296814.99604189483</v>
      </c>
      <c r="M25" s="44">
        <v>296814.99604189483</v>
      </c>
      <c r="N25" s="44">
        <v>0</v>
      </c>
      <c r="O25" s="45">
        <f t="shared" ref="O25:O43" si="16">M25+N25</f>
        <v>296814.99604189483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2076.6323996355027</v>
      </c>
      <c r="E26" s="22">
        <v>44129.680795200002</v>
      </c>
      <c r="F26" s="36">
        <f t="shared" si="13"/>
        <v>46206.313194835508</v>
      </c>
      <c r="G26" s="22">
        <v>2137.4657003567636</v>
      </c>
      <c r="H26" s="22">
        <v>45557.533200000005</v>
      </c>
      <c r="I26" s="36">
        <f t="shared" si="14"/>
        <v>47694.998900356768</v>
      </c>
      <c r="J26" s="22">
        <v>2137.4657003567636</v>
      </c>
      <c r="K26" s="22">
        <v>45557.533200000005</v>
      </c>
      <c r="L26" s="36">
        <f t="shared" si="15"/>
        <v>47694.998900356768</v>
      </c>
      <c r="M26" s="22">
        <v>2137.4657003567636</v>
      </c>
      <c r="N26" s="22">
        <v>45557.533200000005</v>
      </c>
      <c r="O26" s="36">
        <f t="shared" si="16"/>
        <v>47694.998900356768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191424.2709144952</v>
      </c>
      <c r="E27" s="47">
        <v>3436.2848519999993</v>
      </c>
      <c r="F27" s="48">
        <f t="shared" si="13"/>
        <v>194860.55576649521</v>
      </c>
      <c r="G27" s="47">
        <v>198795.32780971911</v>
      </c>
      <c r="H27" s="47">
        <v>10336.632</v>
      </c>
      <c r="I27" s="48">
        <f t="shared" si="14"/>
        <v>209131.95980971912</v>
      </c>
      <c r="J27" s="47">
        <v>198795.32780971911</v>
      </c>
      <c r="K27" s="47">
        <v>10336.632</v>
      </c>
      <c r="L27" s="48">
        <f t="shared" si="15"/>
        <v>209131.95980971912</v>
      </c>
      <c r="M27" s="47">
        <v>198795.32780971911</v>
      </c>
      <c r="N27" s="47">
        <v>10336.632</v>
      </c>
      <c r="O27" s="48">
        <f t="shared" si="16"/>
        <v>209131.95980971912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5615.8881279142597</v>
      </c>
      <c r="E29" s="47">
        <v>8890</v>
      </c>
      <c r="F29" s="48">
        <f t="shared" si="13"/>
        <v>14505.888127914259</v>
      </c>
      <c r="G29" s="47">
        <v>5656.2335573519531</v>
      </c>
      <c r="H29" s="47">
        <v>8890</v>
      </c>
      <c r="I29" s="48">
        <f t="shared" si="14"/>
        <v>14546.233557351952</v>
      </c>
      <c r="J29" s="47">
        <v>5656.2335573519531</v>
      </c>
      <c r="K29" s="47">
        <v>8890</v>
      </c>
      <c r="L29" s="48">
        <f t="shared" si="15"/>
        <v>14546.233557351952</v>
      </c>
      <c r="M29" s="47">
        <v>5656.2335573519531</v>
      </c>
      <c r="N29" s="47">
        <v>8890</v>
      </c>
      <c r="O29" s="48">
        <f t="shared" si="16"/>
        <v>14546.233557351952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199116.79144204495</v>
      </c>
      <c r="E30" s="51">
        <f>+E26+E27+E28+E29</f>
        <v>56455.965647199999</v>
      </c>
      <c r="F30" s="52">
        <f t="shared" si="13"/>
        <v>255572.75708924496</v>
      </c>
      <c r="G30" s="51">
        <f>+G26+G27+G28+G29</f>
        <v>206589.02706742781</v>
      </c>
      <c r="H30" s="51">
        <f>+H26+H27+H28+H29</f>
        <v>64784.165200000003</v>
      </c>
      <c r="I30" s="52">
        <f t="shared" si="14"/>
        <v>271373.1922674278</v>
      </c>
      <c r="J30" s="51">
        <f>+J26+J27+J28+J29</f>
        <v>206589.02706742781</v>
      </c>
      <c r="K30" s="51">
        <f>+K26+K27+K28+K29</f>
        <v>64784.165200000003</v>
      </c>
      <c r="L30" s="52">
        <f t="shared" si="15"/>
        <v>271373.1922674278</v>
      </c>
      <c r="M30" s="51">
        <f>+M26+M27+M28+M29</f>
        <v>206589.02706742781</v>
      </c>
      <c r="N30" s="51">
        <f>+N26+N27+N28+N29</f>
        <v>64784.165200000003</v>
      </c>
      <c r="O30" s="52">
        <f t="shared" si="16"/>
        <v>271373.1922674278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113710.69402494724</v>
      </c>
      <c r="E31" s="53">
        <v>0</v>
      </c>
      <c r="F31" s="48">
        <f t="shared" si="13"/>
        <v>113710.69402494724</v>
      </c>
      <c r="G31" s="147">
        <f>VLOOKUP($A$1,REM_ToolEnrico!$B$5:$J$38,4,FALSE)</f>
        <v>113640.85491587209</v>
      </c>
      <c r="H31" s="53">
        <v>0</v>
      </c>
      <c r="I31" s="48">
        <f t="shared" si="14"/>
        <v>113640.85491587209</v>
      </c>
      <c r="J31" s="147">
        <f>VLOOKUP($A$1,REM_ToolEnrico!$B$5:$J$38,6,FALSE)</f>
        <v>114855.67496924695</v>
      </c>
      <c r="K31" s="53">
        <v>0</v>
      </c>
      <c r="L31" s="48">
        <f t="shared" si="15"/>
        <v>114855.67496924695</v>
      </c>
      <c r="M31" s="147">
        <f>VLOOKUP($A$1,REM_ToolEnrico!$B$5:$J$38,8,FALSE)</f>
        <v>104752.91472743775</v>
      </c>
      <c r="N31" s="53">
        <v>0</v>
      </c>
      <c r="O31" s="48">
        <f t="shared" si="16"/>
        <v>104752.91472743775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103263.9792</v>
      </c>
      <c r="F32" s="48">
        <f t="shared" si="13"/>
        <v>103263.9792</v>
      </c>
      <c r="G32" s="54">
        <f>+G33+G34+G35+G36</f>
        <v>0</v>
      </c>
      <c r="H32" s="54">
        <f>+H33+H34+H35+H36</f>
        <v>103263.9792</v>
      </c>
      <c r="I32" s="48">
        <f t="shared" si="14"/>
        <v>103263.9792</v>
      </c>
      <c r="J32" s="54">
        <f>+J33+J34+J35+J36</f>
        <v>0</v>
      </c>
      <c r="K32" s="54">
        <f>+K33+K34+K35+K36</f>
        <v>98422</v>
      </c>
      <c r="L32" s="48">
        <f t="shared" si="15"/>
        <v>98422</v>
      </c>
      <c r="M32" s="54">
        <f>+M33+M34+M35+M36</f>
        <v>0</v>
      </c>
      <c r="N32" s="54">
        <f>+N33+N34+N35+N36</f>
        <v>98422</v>
      </c>
      <c r="O32" s="48">
        <f t="shared" si="16"/>
        <v>98422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103263.9792</v>
      </c>
      <c r="F34" s="48">
        <f>D34+E34</f>
        <v>103263.9792</v>
      </c>
      <c r="G34" s="47">
        <v>0</v>
      </c>
      <c r="H34" s="47">
        <v>103263.9792</v>
      </c>
      <c r="I34" s="48">
        <f>G34+H34</f>
        <v>103263.9792</v>
      </c>
      <c r="J34" s="47">
        <v>0</v>
      </c>
      <c r="K34" s="148">
        <v>98422</v>
      </c>
      <c r="L34" s="48">
        <f t="shared" si="15"/>
        <v>98422</v>
      </c>
      <c r="M34" s="47">
        <v>0</v>
      </c>
      <c r="N34" s="148">
        <v>98422</v>
      </c>
      <c r="O34" s="48">
        <f t="shared" si="16"/>
        <v>98422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88600.516690505669</v>
      </c>
      <c r="E37" s="47">
        <v>0</v>
      </c>
      <c r="F37" s="48">
        <f t="shared" si="13"/>
        <v>88600.516690505669</v>
      </c>
      <c r="G37" s="147">
        <f>VLOOKUP($A$1,REM_ToolEnrico!$B$5:$J$38,5,FALSE)</f>
        <v>83199.094420758192</v>
      </c>
      <c r="H37" s="47">
        <v>0</v>
      </c>
      <c r="I37" s="48">
        <f t="shared" si="17"/>
        <v>83199.094420758192</v>
      </c>
      <c r="J37" s="147">
        <f>VLOOKUP($A$1,REM_ToolEnrico!$B$5:$J$38,7,FALSE)</f>
        <v>80710.315820215721</v>
      </c>
      <c r="K37" s="47">
        <v>0</v>
      </c>
      <c r="L37" s="48">
        <f t="shared" si="15"/>
        <v>80710.315820215721</v>
      </c>
      <c r="M37" s="147">
        <f>VLOOKUP($A$1,REM_ToolEnrico!$B$5:$J$38,9,FALSE)</f>
        <v>76527.468685777654</v>
      </c>
      <c r="N37" s="47">
        <v>0</v>
      </c>
      <c r="O37" s="48">
        <f t="shared" si="16"/>
        <v>76527.468685777654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325.99800673532826</v>
      </c>
      <c r="E38" s="47">
        <v>0</v>
      </c>
      <c r="F38" s="48">
        <f t="shared" si="13"/>
        <v>325.99800673532826</v>
      </c>
      <c r="G38" s="47">
        <v>326.65000274879895</v>
      </c>
      <c r="H38" s="47">
        <v>0</v>
      </c>
      <c r="I38" s="48">
        <f t="shared" si="17"/>
        <v>326.65000274879895</v>
      </c>
      <c r="J38" s="47">
        <v>326.65000274879895</v>
      </c>
      <c r="K38" s="47">
        <v>0</v>
      </c>
      <c r="L38" s="48">
        <f t="shared" si="15"/>
        <v>326.65000274879895</v>
      </c>
      <c r="M38" s="47">
        <v>326.65000274879895</v>
      </c>
      <c r="N38" s="47">
        <v>0</v>
      </c>
      <c r="O38" s="48">
        <f t="shared" si="16"/>
        <v>326.65000274879895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202637.20872218825</v>
      </c>
      <c r="E40" s="51">
        <f>E38+E37+E32+E31+E39</f>
        <v>103263.9792</v>
      </c>
      <c r="F40" s="52">
        <f t="shared" si="13"/>
        <v>305901.18792218826</v>
      </c>
      <c r="G40" s="51">
        <f>G38+G37+G32+G31+G39</f>
        <v>197166.59933937906</v>
      </c>
      <c r="H40" s="51">
        <f>H38+H37+H32+H31+H39</f>
        <v>103263.9792</v>
      </c>
      <c r="I40" s="52">
        <f t="shared" si="17"/>
        <v>300430.57853937906</v>
      </c>
      <c r="J40" s="51">
        <f>J38+J37+J32+J31+J39</f>
        <v>195892.64079221146</v>
      </c>
      <c r="K40" s="51">
        <f>K38+K37+K32+K31+K39</f>
        <v>98422</v>
      </c>
      <c r="L40" s="52">
        <f t="shared" si="15"/>
        <v>294314.64079221146</v>
      </c>
      <c r="M40" s="51">
        <f>M38+M37+M32+M31+M39</f>
        <v>181607.03341596419</v>
      </c>
      <c r="N40" s="51">
        <f>N38+N37+N32+N31+N39</f>
        <v>98422</v>
      </c>
      <c r="O40" s="52">
        <f t="shared" si="16"/>
        <v>280029.03341596422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7497.6979113664847</v>
      </c>
      <c r="E42" s="22">
        <v>0</v>
      </c>
      <c r="F42" s="36">
        <f t="shared" si="13"/>
        <v>7497.6979113664847</v>
      </c>
      <c r="G42" s="22">
        <v>8175.200734682734</v>
      </c>
      <c r="H42" s="22">
        <v>0</v>
      </c>
      <c r="I42" s="36">
        <f t="shared" si="17"/>
        <v>8175.200734682734</v>
      </c>
      <c r="J42" s="22">
        <v>8175.200734682734</v>
      </c>
      <c r="K42" s="22">
        <v>0</v>
      </c>
      <c r="L42" s="36">
        <f t="shared" si="15"/>
        <v>8175.200734682734</v>
      </c>
      <c r="M42" s="22">
        <v>8175.200734682734</v>
      </c>
      <c r="N42" s="22">
        <v>0</v>
      </c>
      <c r="O42" s="36">
        <f t="shared" si="16"/>
        <v>8175.200734682734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-13395.03485</v>
      </c>
      <c r="F44" s="36">
        <f t="shared" si="13"/>
        <v>-13395.03485</v>
      </c>
      <c r="G44" s="57">
        <v>0</v>
      </c>
      <c r="H44" s="57">
        <v>-13395.03485</v>
      </c>
      <c r="I44" s="36">
        <f t="shared" si="17"/>
        <v>-13395.03485</v>
      </c>
      <c r="J44" s="57">
        <v>0</v>
      </c>
      <c r="K44" s="57">
        <v>-8553.0779999999995</v>
      </c>
      <c r="L44" s="36">
        <f t="shared" si="15"/>
        <v>-8553.0779999999995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>
        <f>M47*0.1</f>
        <v>69318.625725996957</v>
      </c>
      <c r="O45" s="36">
        <f>N45</f>
        <v>69318.625725996957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693215.35039043066</v>
      </c>
      <c r="E47" s="59">
        <f>E25+E30+E40+E41+E42+E43+E44+E45</f>
        <v>146324.90999720001</v>
      </c>
      <c r="F47" s="60">
        <f>D47+E47</f>
        <v>839540.26038763067</v>
      </c>
      <c r="G47" s="59">
        <f>G25+G30+G40+G41+G42+G43+G44+G46</f>
        <v>708745.82318338437</v>
      </c>
      <c r="H47" s="59">
        <f>H25+H30+H40+H41+H42+H43+H44+H45+H46</f>
        <v>154653.10954999999</v>
      </c>
      <c r="I47" s="60">
        <f>G47+H47</f>
        <v>863398.93273338443</v>
      </c>
      <c r="J47" s="59">
        <f>J25+J30+J40+J41+J42+J43+J44+J46</f>
        <v>707471.86463621689</v>
      </c>
      <c r="K47" s="59">
        <f>K25+K30+K40+K41+K42+K43+K44+K45+K46</f>
        <v>154653.08719999998</v>
      </c>
      <c r="L47" s="60">
        <f>J47+K47</f>
        <v>862124.95183621685</v>
      </c>
      <c r="M47" s="59">
        <f>M25+M30+M40+M41+M42+M43+M44+M46</f>
        <v>693186.2572599696</v>
      </c>
      <c r="N47" s="59">
        <f>N25+N30+N40+N41+N42+N43+N44+N45+N46</f>
        <v>232524.79092599696</v>
      </c>
      <c r="O47" s="60">
        <f>M47+N47</f>
        <v>925711.04818596656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1928696.3871322363</v>
      </c>
      <c r="E49" s="65">
        <v>339194.54871042364</v>
      </c>
      <c r="F49" s="65">
        <f>D49+E49</f>
        <v>2267890.9358426598</v>
      </c>
      <c r="G49" s="65">
        <f>G50</f>
        <v>2039940.5667376942</v>
      </c>
      <c r="H49" s="65">
        <v>358647.16622376943</v>
      </c>
      <c r="I49" s="65">
        <f t="shared" ref="I49" si="21">G49+H49</f>
        <v>2398587.7329614637</v>
      </c>
      <c r="J49" s="65">
        <f>J50</f>
        <v>1959459.5015124022</v>
      </c>
      <c r="K49" s="65">
        <v>363489.12307376938</v>
      </c>
      <c r="L49" s="65">
        <f t="shared" ref="L49" si="22">J49+K49</f>
        <v>2322948.6245861715</v>
      </c>
      <c r="M49" s="65">
        <f>M50</f>
        <v>2031318.9395907004</v>
      </c>
      <c r="N49" s="65">
        <v>372042.20107376948</v>
      </c>
      <c r="O49" s="65">
        <f t="shared" ref="O49" si="23">M49+N49</f>
        <v>2403361.1406644699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1928696.3871322363</v>
      </c>
      <c r="E50" s="59">
        <f t="shared" si="24"/>
        <v>313468.00325587817</v>
      </c>
      <c r="F50" s="59">
        <f t="shared" si="24"/>
        <v>2242164.3903881144</v>
      </c>
      <c r="G50" s="59">
        <f>+G23+G47</f>
        <v>2039940.5667376942</v>
      </c>
      <c r="H50" s="59">
        <f t="shared" si="24"/>
        <v>332768.07531467848</v>
      </c>
      <c r="I50" s="59">
        <f t="shared" si="24"/>
        <v>2372708.6420523729</v>
      </c>
      <c r="J50" s="59">
        <f t="shared" si="24"/>
        <v>1959459.5015124022</v>
      </c>
      <c r="K50" s="59">
        <f t="shared" si="24"/>
        <v>345259.31007851288</v>
      </c>
      <c r="L50" s="59">
        <f t="shared" si="24"/>
        <v>2304718.8115909151</v>
      </c>
      <c r="M50" s="59">
        <f t="shared" si="24"/>
        <v>2031318.9395907004</v>
      </c>
      <c r="N50" s="59">
        <f t="shared" si="24"/>
        <v>366338.05915907002</v>
      </c>
      <c r="O50" s="59">
        <f t="shared" si="24"/>
        <v>2397656.9987497707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51378.050177767494</v>
      </c>
      <c r="E51" s="68">
        <f>E44+E20</f>
        <v>-13395.03485</v>
      </c>
      <c r="F51" s="146"/>
      <c r="G51" s="68">
        <f>G44+G20</f>
        <v>99276.606678124212</v>
      </c>
      <c r="H51" s="68">
        <f>H44+H20</f>
        <v>-13395.03485</v>
      </c>
      <c r="I51" s="146"/>
      <c r="J51" s="68">
        <f>J44+J20</f>
        <v>20069.499999999996</v>
      </c>
      <c r="K51" s="68">
        <f>K44+K20</f>
        <v>-8553.0779999999995</v>
      </c>
      <c r="L51" s="146"/>
      <c r="M51" s="68">
        <f>M44+M20</f>
        <v>0</v>
      </c>
      <c r="N51" s="68">
        <f>N44+N20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0.74239999999999995</v>
      </c>
      <c r="G53" s="72"/>
      <c r="H53" s="73"/>
      <c r="I53" s="74">
        <v>0.74239999999999995</v>
      </c>
      <c r="J53" s="72"/>
      <c r="K53" s="73"/>
      <c r="L53" s="74">
        <v>0.74239999999999995</v>
      </c>
      <c r="M53" s="72"/>
      <c r="N53" s="73"/>
      <c r="O53" s="74">
        <v>0.74239999999999995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5986.9080000000004</v>
      </c>
      <c r="G54" s="34"/>
      <c r="H54" s="76"/>
      <c r="I54" s="77">
        <v>5986.9080000000004</v>
      </c>
      <c r="J54" s="34"/>
      <c r="K54" s="76"/>
      <c r="L54" s="77">
        <v>5986.9080000000004</v>
      </c>
      <c r="M54" s="34"/>
      <c r="N54" s="76"/>
      <c r="O54" s="77">
        <v>5986.9080000000004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34.259032710309427</v>
      </c>
      <c r="G55" s="34"/>
      <c r="H55" s="76"/>
      <c r="I55" s="78">
        <v>31.130501721422828</v>
      </c>
      <c r="J55" s="34"/>
      <c r="K55" s="76"/>
      <c r="L55" s="78">
        <v>33.153984333315307</v>
      </c>
      <c r="M55" s="34"/>
      <c r="N55" s="76"/>
      <c r="O55" s="78">
        <v>35.308993314980803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33.395855743267632</v>
      </c>
      <c r="G56" s="81"/>
      <c r="H56" s="82"/>
      <c r="I56" s="78">
        <v>33.395855743267632</v>
      </c>
      <c r="J56" s="81"/>
      <c r="K56" s="82"/>
      <c r="L56" s="78">
        <v>33.395855743267632</v>
      </c>
      <c r="M56" s="81"/>
      <c r="N56" s="82"/>
      <c r="O56" s="78">
        <v>33.395855743267632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-0.29000000000000004</v>
      </c>
      <c r="G59" s="87"/>
      <c r="H59" s="73"/>
      <c r="I59" s="86">
        <v>-0.29000000000000004</v>
      </c>
      <c r="J59" s="72"/>
      <c r="K59" s="73"/>
      <c r="L59" s="88">
        <v>-0.29000000000000004</v>
      </c>
      <c r="M59" s="72"/>
      <c r="N59" s="73"/>
      <c r="O59" s="88">
        <v>-0.29000000000000004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-9.4037542804060903E-2</v>
      </c>
      <c r="G60" s="90"/>
      <c r="H60" s="76"/>
      <c r="I60" s="89">
        <v>-9.4037542804060903E-2</v>
      </c>
      <c r="J60" s="34"/>
      <c r="K60" s="91"/>
      <c r="L60" s="89">
        <v>-9.4037542804060903E-2</v>
      </c>
      <c r="M60" s="34"/>
      <c r="N60" s="76"/>
      <c r="O60" s="89">
        <v>-9.4037542804060903E-2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-0.38403754280406094</v>
      </c>
      <c r="G61" s="90"/>
      <c r="H61" s="76"/>
      <c r="I61" s="92">
        <v>-0.38403754280406094</v>
      </c>
      <c r="J61" s="34"/>
      <c r="K61" s="76"/>
      <c r="L61" s="93">
        <v>-0.38403754280406094</v>
      </c>
      <c r="M61" s="34"/>
      <c r="N61" s="76"/>
      <c r="O61" s="92">
        <v>-0.38403754280406094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0.61596245719593901</v>
      </c>
      <c r="G62" s="95"/>
      <c r="H62" s="82"/>
      <c r="I62" s="94">
        <v>0.61596245719593901</v>
      </c>
      <c r="J62" s="81"/>
      <c r="K62" s="82"/>
      <c r="L62" s="94">
        <v>0.61596245719593901</v>
      </c>
      <c r="M62" s="81"/>
      <c r="N62" s="82"/>
      <c r="O62" s="94">
        <v>0.61596245719593901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2242164.3903881144</v>
      </c>
      <c r="G72" s="34"/>
      <c r="H72" s="76"/>
      <c r="I72" s="108">
        <f>I50</f>
        <v>2372708.6420523729</v>
      </c>
      <c r="J72" s="34"/>
      <c r="K72" s="76"/>
      <c r="L72" s="108">
        <f>L50</f>
        <v>2304718.8115909151</v>
      </c>
      <c r="M72" s="34"/>
      <c r="N72" s="76"/>
      <c r="O72" s="108">
        <f>O50</f>
        <v>2397656.9987497707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994572.86430616328</v>
      </c>
      <c r="G73" s="34"/>
      <c r="H73" s="76"/>
      <c r="I73" s="110">
        <f>F81</f>
        <v>1145358.2799823703</v>
      </c>
      <c r="J73" s="34"/>
      <c r="K73" s="76"/>
      <c r="L73" s="110">
        <f>I81</f>
        <v>1250518.0127606664</v>
      </c>
      <c r="M73" s="34"/>
      <c r="N73" s="76"/>
      <c r="O73" s="110">
        <f>L81</f>
        <v>1389196.5951149478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869181.63369383779</v>
      </c>
      <c r="G74" s="34"/>
      <c r="H74" s="76"/>
      <c r="I74" s="110">
        <f>F82</f>
        <v>839540.26038763078</v>
      </c>
      <c r="J74" s="34"/>
      <c r="K74" s="76"/>
      <c r="L74" s="110">
        <f>I82</f>
        <v>863398.93273338454</v>
      </c>
      <c r="M74" s="34"/>
      <c r="N74" s="76"/>
      <c r="O74" s="110">
        <f>L82</f>
        <v>862124.95183621673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1863754.4980000011</v>
      </c>
      <c r="G75" s="34"/>
      <c r="H75" s="76"/>
      <c r="I75" s="111">
        <f>SUM(I73:I74)</f>
        <v>1984898.540370001</v>
      </c>
      <c r="J75" s="34"/>
      <c r="K75" s="76"/>
      <c r="L75" s="111">
        <f>SUM(L73:L74)</f>
        <v>2113916.9454940511</v>
      </c>
      <c r="M75" s="34"/>
      <c r="N75" s="76"/>
      <c r="O75" s="111">
        <f>SUM(O73:O74)</f>
        <v>2251321.5469511645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1.2030363402444828</v>
      </c>
      <c r="G76" s="81"/>
      <c r="H76" s="82"/>
      <c r="I76" s="112">
        <f>I72/I75</f>
        <v>1.1953803148094819</v>
      </c>
      <c r="J76" s="81"/>
      <c r="K76" s="82"/>
      <c r="L76" s="112">
        <f>L72/L75</f>
        <v>1.0902598687727871</v>
      </c>
      <c r="M76" s="81"/>
      <c r="N76" s="82"/>
      <c r="O76" s="112">
        <f>O72/O75</f>
        <v>1.0649998006712014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1984898.540370001</v>
      </c>
      <c r="G78" s="73"/>
      <c r="H78" s="73"/>
      <c r="I78" s="115">
        <f>IF(I72&lt;=I75*I71,I72,I75*I71)</f>
        <v>2113916.9454940511</v>
      </c>
      <c r="J78" s="73"/>
      <c r="K78" s="73"/>
      <c r="L78" s="115">
        <f>IF(L72&lt;=L75*L71,L72,L75*L71)</f>
        <v>2251321.5469511645</v>
      </c>
      <c r="M78" s="73"/>
      <c r="N78" s="73"/>
      <c r="O78" s="115">
        <f>IF(O72&lt;=O75*O71,O72,O75*O71)</f>
        <v>2397656.9987497707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257265.85001811339</v>
      </c>
      <c r="G79" s="34"/>
      <c r="H79" s="76"/>
      <c r="I79" s="117">
        <f>IF(I76&lt;=I71,0,I72-I78)</f>
        <v>258791.69655832183</v>
      </c>
      <c r="J79" s="82"/>
      <c r="K79" s="82"/>
      <c r="L79" s="117">
        <f>IF(L76&lt;=L71,0,L72-L78)</f>
        <v>53397.264639750589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978215.18672369211</v>
      </c>
      <c r="E81" s="120">
        <f>E23</f>
        <v>167143.09325867816</v>
      </c>
      <c r="F81" s="115">
        <f>D81+E81</f>
        <v>1145358.2799823703</v>
      </c>
      <c r="G81" s="119">
        <f>G23-I79</f>
        <v>1072403.0469959879</v>
      </c>
      <c r="H81" s="120">
        <f>H23</f>
        <v>178114.96576467846</v>
      </c>
      <c r="I81" s="115">
        <f>G81+H81</f>
        <v>1250518.0127606664</v>
      </c>
      <c r="J81" s="119">
        <f>J23-L79</f>
        <v>1198590.3722364348</v>
      </c>
      <c r="K81" s="120">
        <f>K23</f>
        <v>190606.22287851293</v>
      </c>
      <c r="L81" s="115">
        <f>J81+K81</f>
        <v>1389196.5951149478</v>
      </c>
      <c r="M81" s="119">
        <f>M23-O79</f>
        <v>1338132.6823307308</v>
      </c>
      <c r="N81" s="120">
        <f>N23</f>
        <v>133813.26823307309</v>
      </c>
      <c r="O81" s="115">
        <f>M81+N81</f>
        <v>1471945.950563804</v>
      </c>
    </row>
    <row r="82" spans="1:52" s="14" customFormat="1" ht="20" customHeight="1" thickBot="1">
      <c r="B82" s="118" t="s">
        <v>72</v>
      </c>
      <c r="D82" s="121">
        <f>D50-D81-F79</f>
        <v>693215.35039043077</v>
      </c>
      <c r="E82" s="122">
        <f>E50-E81</f>
        <v>146324.90999720001</v>
      </c>
      <c r="F82" s="123">
        <f>D82+E82</f>
        <v>839540.26038763078</v>
      </c>
      <c r="G82" s="121">
        <f>G49-G81-I79</f>
        <v>708745.82318338449</v>
      </c>
      <c r="H82" s="122">
        <f>H50-H81</f>
        <v>154653.10955000002</v>
      </c>
      <c r="I82" s="123">
        <f>G82+H82</f>
        <v>863398.93273338454</v>
      </c>
      <c r="J82" s="121">
        <f>J50-J81-L79</f>
        <v>707471.86463621678</v>
      </c>
      <c r="K82" s="122">
        <f>K50-K81</f>
        <v>154653.08719999995</v>
      </c>
      <c r="L82" s="123">
        <f>J82+K82</f>
        <v>862124.95183621673</v>
      </c>
      <c r="M82" s="121">
        <f>M49-M81-O79</f>
        <v>693186.2572599696</v>
      </c>
      <c r="N82" s="122">
        <f>N50-N81</f>
        <v>232524.79092599693</v>
      </c>
      <c r="O82" s="123">
        <f>M82+N82</f>
        <v>925711.04818596656</v>
      </c>
    </row>
    <row r="83" spans="1:52" s="124" customFormat="1" ht="17.25" customHeight="1" thickBot="1">
      <c r="B83" s="125" t="s">
        <v>73</v>
      </c>
      <c r="C83" s="14"/>
      <c r="D83" s="126">
        <f>SUM(D81:D82)</f>
        <v>1671430.5371141229</v>
      </c>
      <c r="E83" s="127">
        <f t="shared" ref="E83:O83" si="25">SUM(E81:E82)</f>
        <v>313468.00325587817</v>
      </c>
      <c r="F83" s="128">
        <f t="shared" si="25"/>
        <v>1984898.540370001</v>
      </c>
      <c r="G83" s="126">
        <f t="shared" si="25"/>
        <v>1781148.8701793724</v>
      </c>
      <c r="H83" s="127">
        <f t="shared" si="25"/>
        <v>332768.07531467848</v>
      </c>
      <c r="I83" s="128">
        <f t="shared" si="25"/>
        <v>2113916.9454940511</v>
      </c>
      <c r="J83" s="126">
        <f t="shared" si="25"/>
        <v>1906062.2368726516</v>
      </c>
      <c r="K83" s="127">
        <f t="shared" si="25"/>
        <v>345259.31007851288</v>
      </c>
      <c r="L83" s="128">
        <f t="shared" si="25"/>
        <v>2251321.5469511645</v>
      </c>
      <c r="M83" s="126">
        <f t="shared" si="25"/>
        <v>2031318.9395907004</v>
      </c>
      <c r="N83" s="127">
        <f t="shared" si="25"/>
        <v>366338.05915907002</v>
      </c>
      <c r="O83" s="128">
        <f t="shared" si="25"/>
        <v>2397656.9987497707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1145358.2799823703</v>
      </c>
      <c r="G88" s="72"/>
      <c r="H88" s="73"/>
      <c r="I88" s="136">
        <f>I81-I85</f>
        <v>1250518.0127606664</v>
      </c>
      <c r="J88" s="72"/>
      <c r="K88" s="73"/>
      <c r="L88" s="136">
        <f>L81-L85</f>
        <v>1389196.5951149478</v>
      </c>
      <c r="M88" s="72"/>
      <c r="N88" s="73"/>
      <c r="O88" s="136">
        <f>O81-O85</f>
        <v>1471945.950563804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839540.26038763078</v>
      </c>
      <c r="G89" s="34"/>
      <c r="H89" s="76"/>
      <c r="I89" s="138">
        <f>I82-I86</f>
        <v>863398.93273338454</v>
      </c>
      <c r="J89" s="34"/>
      <c r="K89" s="76"/>
      <c r="L89" s="138">
        <f>L82-L86</f>
        <v>862124.95183621673</v>
      </c>
      <c r="M89" s="34"/>
      <c r="N89" s="76"/>
      <c r="O89" s="138">
        <f>O82-O86</f>
        <v>925711.04818596656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1984898.540370001</v>
      </c>
      <c r="G90" s="81"/>
      <c r="H90" s="82"/>
      <c r="I90" s="139">
        <f>+I88+I89</f>
        <v>2113916.9454940511</v>
      </c>
      <c r="J90" s="81"/>
      <c r="K90" s="82"/>
      <c r="L90" s="139">
        <f>+L88+L89</f>
        <v>2251321.5469511645</v>
      </c>
      <c r="M90" s="81"/>
      <c r="N90" s="82"/>
      <c r="O90" s="139">
        <f>+O88+O89</f>
        <v>2397656.9987497707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-1378.8909633813601</v>
      </c>
      <c r="E92" s="143">
        <v>0</v>
      </c>
      <c r="F92" s="144">
        <f>D92+E92</f>
        <v>-1378.8909633813601</v>
      </c>
      <c r="G92" s="142">
        <v>-65367.524317219199</v>
      </c>
      <c r="H92" s="143">
        <v>0</v>
      </c>
      <c r="I92" s="144">
        <f>G92+H92</f>
        <v>-65367.524317219199</v>
      </c>
      <c r="J92" s="142">
        <v>-65367.524317219199</v>
      </c>
      <c r="K92" s="143">
        <v>0</v>
      </c>
      <c r="L92" s="144">
        <f>J92+K92</f>
        <v>-65367.524317219199</v>
      </c>
      <c r="M92" s="142">
        <v>-65367.524317219199</v>
      </c>
      <c r="N92" s="143">
        <v>0</v>
      </c>
      <c r="O92" s="144">
        <f>M92+N92</f>
        <v>-65367.524317219199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1996508.54643882</v>
      </c>
      <c r="E96" s="166">
        <f>E6+E7+E8+E9+E11+E25+E30+E40+E42+E21+E45</f>
        <v>326863.03810587816</v>
      </c>
      <c r="F96" s="166">
        <f t="shared" ref="F96" si="26">F6+F7+F8+F9+F11+F25+F30+F40+F42</f>
        <v>2156228.4912860198</v>
      </c>
      <c r="G96" s="166">
        <f t="shared" ref="G96" si="27">G6+G7+G8+G9+G11+G25+G30+G40+G42+G21+G45</f>
        <v>2059735.0984055751</v>
      </c>
      <c r="H96" s="166">
        <f t="shared" ref="H96" si="28">H6+H7+H8+H9+H11+H25+H30+H40+H42</f>
        <v>168048.14439999999</v>
      </c>
      <c r="I96" s="166">
        <f t="shared" ref="I96" si="29">I6+I7+I8+I9+I11+I25+I30+I40+I42+I21+I45</f>
        <v>2405898.2085702536</v>
      </c>
      <c r="J96" s="166">
        <f t="shared" ref="J96" si="30">J6+J7+J8+J9+J11+J25+J30+J40+J42</f>
        <v>2058461.1398584077</v>
      </c>
      <c r="K96" s="166">
        <f t="shared" ref="K96" si="31">K6+K7+K8+K9+K11+K25+K30+K40+K42+K21+K45</f>
        <v>353812.38807851291</v>
      </c>
      <c r="L96" s="166">
        <f t="shared" ref="L96" si="32">L6+L7+L8+L9+L11+L25+L30+L40+L42</f>
        <v>2221667.3050584076</v>
      </c>
      <c r="M96" s="166">
        <f t="shared" ref="M96" si="33">M6+M7+M8+M9+M11+M25+M30+M40+M42+M21+M45</f>
        <v>2044175.5324821603</v>
      </c>
      <c r="N96" s="166">
        <f t="shared" ref="N96" si="34">N6+N7+N8+N9+N11+N25+N30+N40+N42</f>
        <v>163206.16519999999</v>
      </c>
      <c r="O96" s="166">
        <f t="shared" ref="O96" si="35">O6+O7+O8+O9+O11+O25+O30+O40+O42+O21+O45</f>
        <v>2410513.5916412305</v>
      </c>
    </row>
    <row r="97" spans="4:15" s="14" customFormat="1">
      <c r="D97" s="166">
        <f>D96-D15-D19</f>
        <v>1877318.3369544689</v>
      </c>
      <c r="E97" s="166">
        <f>E96-E15-E19</f>
        <v>326863.03810587816</v>
      </c>
      <c r="F97" s="166">
        <f t="shared" ref="F97:O97" si="36">F96-F15-F19</f>
        <v>2037038.2818016687</v>
      </c>
      <c r="G97" s="166">
        <f t="shared" si="36"/>
        <v>1940663.9600595699</v>
      </c>
      <c r="H97" s="166">
        <f t="shared" si="36"/>
        <v>168048.14439999999</v>
      </c>
      <c r="I97" s="166">
        <f t="shared" si="36"/>
        <v>2286827.0702242483</v>
      </c>
      <c r="J97" s="166">
        <f t="shared" si="36"/>
        <v>1939390.0015124024</v>
      </c>
      <c r="K97" s="166">
        <f t="shared" si="36"/>
        <v>353812.38807851291</v>
      </c>
      <c r="L97" s="166">
        <f t="shared" si="36"/>
        <v>2102596.1667124024</v>
      </c>
      <c r="M97" s="166">
        <f t="shared" si="36"/>
        <v>1925104.394136155</v>
      </c>
      <c r="N97" s="166">
        <f t="shared" si="36"/>
        <v>163206.16519999999</v>
      </c>
      <c r="O97" s="166">
        <f t="shared" si="36"/>
        <v>2291442.4532952253</v>
      </c>
    </row>
    <row r="98" spans="4:15" s="14" customFormat="1">
      <c r="D98" s="166">
        <f>D20+D44</f>
        <v>51378.050177767494</v>
      </c>
      <c r="E98" s="166">
        <f>E20+E44</f>
        <v>-13395.03485</v>
      </c>
      <c r="F98" s="166">
        <f t="shared" ref="F98:O98" si="37">F20+F44</f>
        <v>37983.015327767498</v>
      </c>
      <c r="G98" s="166">
        <f t="shared" si="37"/>
        <v>99276.606678124212</v>
      </c>
      <c r="H98" s="166">
        <f t="shared" si="37"/>
        <v>-13395.03485</v>
      </c>
      <c r="I98" s="166">
        <f t="shared" si="37"/>
        <v>85881.571828124215</v>
      </c>
      <c r="J98" s="166">
        <f t="shared" si="37"/>
        <v>20069.499999999996</v>
      </c>
      <c r="K98" s="166">
        <f t="shared" si="37"/>
        <v>-8553.0779999999995</v>
      </c>
      <c r="L98" s="166">
        <f t="shared" si="37"/>
        <v>11516.421999999997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222" priority="7" operator="containsText" text="ERRORE">
      <formula>NOT(ISERROR(SEARCH("ERRORE",F81)))</formula>
    </cfRule>
  </conditionalFormatting>
  <conditionalFormatting sqref="I83">
    <cfRule type="containsText" dxfId="221" priority="6" operator="containsText" text="ERRORE">
      <formula>NOT(ISERROR(SEARCH("ERRORE",I83)))</formula>
    </cfRule>
  </conditionalFormatting>
  <conditionalFormatting sqref="I81:I82">
    <cfRule type="containsText" dxfId="220" priority="5" operator="containsText" text="ERRORE">
      <formula>NOT(ISERROR(SEARCH("ERRORE",I81)))</formula>
    </cfRule>
  </conditionalFormatting>
  <conditionalFormatting sqref="L83">
    <cfRule type="containsText" dxfId="219" priority="4" operator="containsText" text="ERRORE">
      <formula>NOT(ISERROR(SEARCH("ERRORE",L83)))</formula>
    </cfRule>
  </conditionalFormatting>
  <conditionalFormatting sqref="L81:L82">
    <cfRule type="containsText" dxfId="218" priority="3" operator="containsText" text="ERRORE">
      <formula>NOT(ISERROR(SEARCH("ERRORE",L81)))</formula>
    </cfRule>
  </conditionalFormatting>
  <conditionalFormatting sqref="O83">
    <cfRule type="containsText" dxfId="217" priority="2" operator="containsText" text="ERRORE">
      <formula>NOT(ISERROR(SEARCH("ERRORE",O83)))</formula>
    </cfRule>
  </conditionalFormatting>
  <conditionalFormatting sqref="O81:O82">
    <cfRule type="containsText" dxfId="216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A40" zoomScale="70" zoomScaleNormal="70" zoomScalePageLayoutView="70" workbookViewId="0">
      <selection activeCell="D4" sqref="D4:F4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87</v>
      </c>
      <c r="B1" s="2" t="str">
        <f>"       PEF 2022 - 2025"&amp;" - "&amp;A1</f>
        <v xml:space="preserve">       PEF 2022 - 2025 - Ceggia</v>
      </c>
      <c r="D1" s="3"/>
      <c r="E1" s="3"/>
      <c r="F1" s="4"/>
      <c r="G1" s="3"/>
      <c r="H1" s="3"/>
      <c r="I1" s="4"/>
      <c r="J1" s="3"/>
      <c r="K1" s="3"/>
      <c r="L1" s="3">
        <v>3077.760000000002</v>
      </c>
      <c r="M1" s="4">
        <v>35880</v>
      </c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129</v>
      </c>
      <c r="E4" s="188"/>
      <c r="F4" s="189"/>
      <c r="G4" s="187" t="str">
        <f>D4</f>
        <v>Ambito tariffario: Ceggia</v>
      </c>
      <c r="H4" s="188"/>
      <c r="I4" s="189"/>
      <c r="J4" s="187" t="str">
        <f>D4</f>
        <v>Ambito tariffario: Ceggia</v>
      </c>
      <c r="K4" s="188"/>
      <c r="L4" s="189"/>
      <c r="M4" s="187" t="str">
        <f>D4</f>
        <v>Ambito tariffario: Ceggia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86636.662479757229</v>
      </c>
      <c r="E6" s="22">
        <v>0</v>
      </c>
      <c r="F6" s="23">
        <f>D6+E6</f>
        <v>86636.662479757229</v>
      </c>
      <c r="G6" s="22">
        <v>89621.624779256395</v>
      </c>
      <c r="H6" s="22">
        <v>0</v>
      </c>
      <c r="I6" s="23">
        <f>G6+H6</f>
        <v>89621.624779256395</v>
      </c>
      <c r="J6" s="22">
        <v>89621.624779256395</v>
      </c>
      <c r="K6" s="22">
        <v>0</v>
      </c>
      <c r="L6" s="23">
        <f>J6+K6</f>
        <v>89621.624779256395</v>
      </c>
      <c r="M6" s="22">
        <v>89621.624779256395</v>
      </c>
      <c r="N6" s="22">
        <v>0</v>
      </c>
      <c r="O6" s="23">
        <f>M6+N6</f>
        <v>89621.624779256395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50952.444669101766</v>
      </c>
      <c r="E7" s="22">
        <v>0</v>
      </c>
      <c r="F7" s="23">
        <f t="shared" ref="F7:F20" si="0">D7+E7</f>
        <v>50952.444669101766</v>
      </c>
      <c r="G7" s="22">
        <v>53336.076071198804</v>
      </c>
      <c r="H7" s="22">
        <v>0</v>
      </c>
      <c r="I7" s="23">
        <f t="shared" ref="I7:I13" si="1">G7+H7</f>
        <v>53336.076071198804</v>
      </c>
      <c r="J7" s="22">
        <v>53336.076071198804</v>
      </c>
      <c r="K7" s="22">
        <v>0</v>
      </c>
      <c r="L7" s="23">
        <f t="shared" ref="L7:L12" si="2">J7+K7</f>
        <v>53336.076071198804</v>
      </c>
      <c r="M7" s="22">
        <v>53336.076071198804</v>
      </c>
      <c r="N7" s="22">
        <v>0</v>
      </c>
      <c r="O7" s="23">
        <f t="shared" ref="O7:O13" si="3">M7+N7</f>
        <v>53336.076071198804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89576.90551243574</v>
      </c>
      <c r="E8" s="22">
        <v>0</v>
      </c>
      <c r="F8" s="23">
        <f t="shared" si="0"/>
        <v>89576.90551243574</v>
      </c>
      <c r="G8" s="22">
        <v>93769.643661186274</v>
      </c>
      <c r="H8" s="22">
        <v>0</v>
      </c>
      <c r="I8" s="23">
        <f t="shared" si="1"/>
        <v>93769.643661186274</v>
      </c>
      <c r="J8" s="22">
        <v>93769.643661186274</v>
      </c>
      <c r="K8" s="22">
        <v>0</v>
      </c>
      <c r="L8" s="23">
        <f t="shared" si="2"/>
        <v>93769.643661186274</v>
      </c>
      <c r="M8" s="22">
        <v>93769.643661186274</v>
      </c>
      <c r="N8" s="22">
        <v>0</v>
      </c>
      <c r="O8" s="23">
        <f t="shared" si="3"/>
        <v>93769.643661186274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196448.76946757757</v>
      </c>
      <c r="E9" s="22">
        <v>0</v>
      </c>
      <c r="F9" s="23">
        <f t="shared" si="0"/>
        <v>196448.76946757757</v>
      </c>
      <c r="G9" s="22">
        <v>201997.22908393046</v>
      </c>
      <c r="H9" s="22">
        <v>0</v>
      </c>
      <c r="I9" s="23">
        <f t="shared" si="1"/>
        <v>201997.22908393046</v>
      </c>
      <c r="J9" s="22">
        <v>201997.22908393046</v>
      </c>
      <c r="K9" s="22">
        <v>0</v>
      </c>
      <c r="L9" s="23">
        <f t="shared" si="2"/>
        <v>201997.22908393046</v>
      </c>
      <c r="M9" s="22">
        <v>201997.22908393046</v>
      </c>
      <c r="N9" s="22">
        <v>0</v>
      </c>
      <c r="O9" s="23">
        <f t="shared" si="3"/>
        <v>201997.22908393046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2123.6922771441691</v>
      </c>
      <c r="E11" s="22">
        <v>0</v>
      </c>
      <c r="F11" s="23">
        <f t="shared" si="0"/>
        <v>2123.6922771441691</v>
      </c>
      <c r="G11" s="22">
        <v>2123.6922771441691</v>
      </c>
      <c r="H11" s="22">
        <v>0</v>
      </c>
      <c r="I11" s="23">
        <f t="shared" si="1"/>
        <v>2123.6922771441691</v>
      </c>
      <c r="J11" s="22">
        <v>2123.6922771441691</v>
      </c>
      <c r="K11" s="22">
        <v>0</v>
      </c>
      <c r="L11" s="23">
        <f t="shared" si="2"/>
        <v>2123.6922771441691</v>
      </c>
      <c r="M11" s="22">
        <v>2123.6922771441691</v>
      </c>
      <c r="N11" s="22">
        <v>0</v>
      </c>
      <c r="O11" s="23">
        <f t="shared" si="3"/>
        <v>2123.6922771441691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70546.465076997745</v>
      </c>
      <c r="E13" s="22">
        <v>0</v>
      </c>
      <c r="F13" s="23">
        <f t="shared" si="0"/>
        <v>70546.465076997745</v>
      </c>
      <c r="G13" s="22">
        <v>70475.989087909838</v>
      </c>
      <c r="H13" s="22">
        <v>0</v>
      </c>
      <c r="I13" s="23">
        <f t="shared" si="1"/>
        <v>70475.989087909838</v>
      </c>
      <c r="J13" s="22">
        <v>70475.989087909838</v>
      </c>
      <c r="K13" s="22">
        <v>0</v>
      </c>
      <c r="L13" s="23">
        <f>J13+K13</f>
        <v>70475.989087909838</v>
      </c>
      <c r="M13" s="22">
        <v>70475.989087909838</v>
      </c>
      <c r="N13" s="22">
        <v>0</v>
      </c>
      <c r="O13" s="23">
        <f t="shared" si="3"/>
        <v>70475.989087909838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42327.879046198643</v>
      </c>
      <c r="E15" s="22">
        <v>0</v>
      </c>
      <c r="F15" s="23">
        <f t="shared" si="0"/>
        <v>42327.879046198643</v>
      </c>
      <c r="G15" s="22">
        <v>42285.593452745903</v>
      </c>
      <c r="H15" s="22">
        <v>0</v>
      </c>
      <c r="I15" s="23">
        <f t="shared" ref="I15:I16" si="4">G15+H15</f>
        <v>42285.593452745903</v>
      </c>
      <c r="J15" s="22">
        <v>42285.593452745903</v>
      </c>
      <c r="K15" s="22">
        <v>0</v>
      </c>
      <c r="L15" s="23">
        <f t="shared" ref="L15:L16" si="5">J15+K15</f>
        <v>42285.593452745903</v>
      </c>
      <c r="M15" s="22">
        <v>42285.593452745903</v>
      </c>
      <c r="N15" s="22">
        <v>0</v>
      </c>
      <c r="O15" s="23">
        <f t="shared" ref="O15:O16" si="6">M15+N15</f>
        <v>42285.593452745903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814.81873929373819</v>
      </c>
      <c r="E16" s="22">
        <v>0</v>
      </c>
      <c r="F16" s="23">
        <f t="shared" si="0"/>
        <v>814.81873929373819</v>
      </c>
      <c r="G16" s="22">
        <v>814.00473455917916</v>
      </c>
      <c r="H16" s="22">
        <v>0</v>
      </c>
      <c r="I16" s="23">
        <f t="shared" si="4"/>
        <v>814.00473455917916</v>
      </c>
      <c r="J16" s="22">
        <v>814.00473455917916</v>
      </c>
      <c r="K16" s="22">
        <v>0</v>
      </c>
      <c r="L16" s="23">
        <f t="shared" si="5"/>
        <v>814.00473455917916</v>
      </c>
      <c r="M16" s="22">
        <v>814.00473455917916</v>
      </c>
      <c r="N16" s="22">
        <v>0</v>
      </c>
      <c r="O16" s="23">
        <f t="shared" si="6"/>
        <v>814.00473455917916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537.78036793386718</v>
      </c>
      <c r="E19" s="22">
        <v>0</v>
      </c>
      <c r="F19" s="23">
        <f t="shared" si="0"/>
        <v>537.78036793386718</v>
      </c>
      <c r="G19" s="22">
        <v>537.24312480905826</v>
      </c>
      <c r="H19" s="22">
        <v>0</v>
      </c>
      <c r="I19" s="23">
        <f t="shared" ref="I19:I20" si="7">G19+H19</f>
        <v>537.24312480905826</v>
      </c>
      <c r="J19" s="22">
        <v>537.24312480905826</v>
      </c>
      <c r="K19" s="22">
        <v>0</v>
      </c>
      <c r="L19" s="23">
        <f t="shared" ref="L19:L20" si="8">J19+K19</f>
        <v>537.24312480905826</v>
      </c>
      <c r="M19" s="32">
        <v>537.24312480905826</v>
      </c>
      <c r="N19" s="33">
        <v>0</v>
      </c>
      <c r="O19" s="23">
        <f t="shared" ref="O19:O20" si="9">M19+N19</f>
        <v>537.24312480905826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-20880.347766749404</v>
      </c>
      <c r="E20" s="22">
        <v>-9030.7104582276934</v>
      </c>
      <c r="F20" s="23">
        <f t="shared" si="0"/>
        <v>-29911.058224977096</v>
      </c>
      <c r="G20" s="22">
        <v>-15496.868138535998</v>
      </c>
      <c r="H20" s="22">
        <v>-9030.7104582276934</v>
      </c>
      <c r="I20" s="23">
        <f t="shared" si="7"/>
        <v>-24527.578596763691</v>
      </c>
      <c r="J20" s="22">
        <v>-4153.7977499999997</v>
      </c>
      <c r="K20" s="22">
        <v>-35880</v>
      </c>
      <c r="L20" s="23">
        <f t="shared" si="8"/>
        <v>-40033.797749999998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36199.246722513468</v>
      </c>
      <c r="F21" s="23">
        <f>E21</f>
        <v>36199.246722513468</v>
      </c>
      <c r="G21" s="34"/>
      <c r="H21" s="22">
        <f>G23*0.1</f>
        <v>38252.856115662515</v>
      </c>
      <c r="I21" s="23">
        <f>H21</f>
        <v>38252.856115662515</v>
      </c>
      <c r="J21" s="34"/>
      <c r="K21" s="22">
        <f>J23*0.1</f>
        <v>39387.163154516107</v>
      </c>
      <c r="L21" s="23">
        <f>K21</f>
        <v>39387.163154516107</v>
      </c>
      <c r="M21" s="34"/>
      <c r="N21" s="22">
        <v>60823.59917553774</v>
      </c>
      <c r="O21" s="23">
        <f>N21</f>
        <v>60823.59917553774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361992.46722513466</v>
      </c>
      <c r="E23" s="38">
        <f>E6+E7+E8+E9+E10+E11+E12-E15-E19+E20+E21</f>
        <v>27168.536264285773</v>
      </c>
      <c r="F23" s="38">
        <f>D23+E23</f>
        <v>389161.00348942046</v>
      </c>
      <c r="G23" s="38">
        <f>G6+G7+G8+G9+G10+G11+G12-G15-G19+G20+G22</f>
        <v>382528.5611566251</v>
      </c>
      <c r="H23" s="38">
        <f>H6+H7+H8+H9+H10+H11+H12-H15-H19+H20+H21+H22</f>
        <v>29222.145657434819</v>
      </c>
      <c r="I23" s="38">
        <f>G23+H23</f>
        <v>411750.70681405993</v>
      </c>
      <c r="J23" s="38">
        <f>J6+J7+J8+J9+J10+J11+J12-J15-J19+J20+J22</f>
        <v>393871.63154516107</v>
      </c>
      <c r="K23" s="38">
        <f>K6+K7+K8+K9+K10+K11+K12-K15-K19+K20+K21+K22</f>
        <v>3507.1631545161072</v>
      </c>
      <c r="L23" s="38">
        <f>J23+K23</f>
        <v>397378.79469967715</v>
      </c>
      <c r="M23" s="38">
        <f>M6+M7+M8+M9+M10+M11+M12-M15-M19+M20+M22</f>
        <v>398025.4292951611</v>
      </c>
      <c r="N23" s="38">
        <f>N6+N7+N8+N9+N10+N11+N12-N15-N19+N20+N21+N22</f>
        <v>60823.59917553774</v>
      </c>
      <c r="O23" s="38">
        <f>M23+N23</f>
        <v>458849.02847069886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102754.44384643594</v>
      </c>
      <c r="E25" s="44">
        <v>0</v>
      </c>
      <c r="F25" s="45">
        <f t="shared" ref="F25:F44" si="13">D25+E25</f>
        <v>102754.44384643594</v>
      </c>
      <c r="G25" s="44">
        <v>107404.80197005154</v>
      </c>
      <c r="H25" s="44">
        <v>0</v>
      </c>
      <c r="I25" s="45">
        <f t="shared" ref="I25:I33" si="14">G25+H25</f>
        <v>107404.80197005154</v>
      </c>
      <c r="J25" s="44">
        <v>107404.80197005154</v>
      </c>
      <c r="K25" s="44">
        <v>0</v>
      </c>
      <c r="L25" s="45">
        <f t="shared" ref="L25:L44" si="15">J25+K25</f>
        <v>107404.80197005154</v>
      </c>
      <c r="M25" s="44">
        <v>107404.80197005154</v>
      </c>
      <c r="N25" s="44">
        <v>0</v>
      </c>
      <c r="O25" s="45">
        <f t="shared" ref="O25:O43" si="16">M25+N25</f>
        <v>107404.80197005154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0</v>
      </c>
      <c r="E26" s="22">
        <v>44794.440430740004</v>
      </c>
      <c r="F26" s="36">
        <f t="shared" si="13"/>
        <v>44794.440430740004</v>
      </c>
      <c r="G26" s="22">
        <v>0</v>
      </c>
      <c r="H26" s="22">
        <v>46092</v>
      </c>
      <c r="I26" s="36">
        <f t="shared" si="14"/>
        <v>46092</v>
      </c>
      <c r="J26" s="22">
        <v>0</v>
      </c>
      <c r="K26" s="22">
        <v>46092</v>
      </c>
      <c r="L26" s="36">
        <f t="shared" si="15"/>
        <v>46092</v>
      </c>
      <c r="M26" s="22">
        <v>0</v>
      </c>
      <c r="N26" s="22">
        <v>46092</v>
      </c>
      <c r="O26" s="36">
        <f t="shared" si="16"/>
        <v>46092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58166.174695422116</v>
      </c>
      <c r="E27" s="47">
        <v>4853.4063177599992</v>
      </c>
      <c r="F27" s="48">
        <f t="shared" si="13"/>
        <v>63019.581013182113</v>
      </c>
      <c r="G27" s="47">
        <v>60405.943879388353</v>
      </c>
      <c r="H27" s="47">
        <v>3897.6297</v>
      </c>
      <c r="I27" s="48">
        <f t="shared" si="14"/>
        <v>64303.57357938835</v>
      </c>
      <c r="J27" s="47">
        <v>60405.943879388353</v>
      </c>
      <c r="K27" s="47">
        <v>3897.6297</v>
      </c>
      <c r="L27" s="48">
        <f t="shared" si="15"/>
        <v>64303.57357938835</v>
      </c>
      <c r="M27" s="47">
        <v>60405.943879388353</v>
      </c>
      <c r="N27" s="47">
        <v>3897.6297</v>
      </c>
      <c r="O27" s="48">
        <f t="shared" si="16"/>
        <v>64303.57357938835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1503.7707254652573</v>
      </c>
      <c r="E29" s="47">
        <v>3727.8</v>
      </c>
      <c r="F29" s="48">
        <f t="shared" si="13"/>
        <v>5231.5707254652571</v>
      </c>
      <c r="G29" s="47">
        <v>1514.5740524391622</v>
      </c>
      <c r="H29" s="47">
        <v>3727.8</v>
      </c>
      <c r="I29" s="48">
        <f t="shared" si="14"/>
        <v>5242.3740524391624</v>
      </c>
      <c r="J29" s="47">
        <v>1514.5740524391622</v>
      </c>
      <c r="K29" s="47">
        <v>3727.8</v>
      </c>
      <c r="L29" s="48">
        <f t="shared" si="15"/>
        <v>5242.3740524391624</v>
      </c>
      <c r="M29" s="47">
        <v>1514.5740524391622</v>
      </c>
      <c r="N29" s="47">
        <v>3727.8</v>
      </c>
      <c r="O29" s="48">
        <f t="shared" si="16"/>
        <v>5242.3740524391624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59669.945420887372</v>
      </c>
      <c r="E30" s="51">
        <f>+E26+E27+E28+E29</f>
        <v>53375.646748500003</v>
      </c>
      <c r="F30" s="52">
        <f t="shared" si="13"/>
        <v>113045.59216938738</v>
      </c>
      <c r="G30" s="51">
        <f>+G26+G27+G28+G29</f>
        <v>61920.517931827519</v>
      </c>
      <c r="H30" s="51">
        <f>+H26+H27+H28+H29</f>
        <v>53717.429700000001</v>
      </c>
      <c r="I30" s="52">
        <f t="shared" si="14"/>
        <v>115637.94763182753</v>
      </c>
      <c r="J30" s="51">
        <f>+J26+J27+J28+J29</f>
        <v>61920.517931827519</v>
      </c>
      <c r="K30" s="51">
        <f>+K26+K27+K28+K29</f>
        <v>53717.429700000001</v>
      </c>
      <c r="L30" s="52">
        <f t="shared" si="15"/>
        <v>115637.94763182753</v>
      </c>
      <c r="M30" s="51">
        <f>+M26+M27+M28+M29</f>
        <v>61920.517931827519</v>
      </c>
      <c r="N30" s="51">
        <f>+N26+N27+N28+N29</f>
        <v>53717.429700000001</v>
      </c>
      <c r="O30" s="52">
        <f t="shared" si="16"/>
        <v>115637.94763182753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31045.076223271146</v>
      </c>
      <c r="E31" s="53">
        <v>0</v>
      </c>
      <c r="F31" s="48">
        <f t="shared" si="13"/>
        <v>31045.076223271146</v>
      </c>
      <c r="G31" s="147">
        <f>VLOOKUP($A$1,REM_ToolEnrico!$B$5:$J$38,4,FALSE)</f>
        <v>30111.230323253323</v>
      </c>
      <c r="H31" s="53">
        <v>0</v>
      </c>
      <c r="I31" s="48">
        <f t="shared" si="14"/>
        <v>30111.230323253323</v>
      </c>
      <c r="J31" s="147">
        <f>VLOOKUP($A$1,REM_ToolEnrico!$B$5:$J$38,6,FALSE)</f>
        <v>23058.065133619675</v>
      </c>
      <c r="K31" s="53">
        <v>0</v>
      </c>
      <c r="L31" s="48">
        <f t="shared" si="15"/>
        <v>23058.065133619675</v>
      </c>
      <c r="M31" s="147">
        <f>VLOOKUP($A$1,REM_ToolEnrico!$B$5:$J$38,8,FALSE)</f>
        <v>25313.245373194379</v>
      </c>
      <c r="N31" s="53">
        <v>0</v>
      </c>
      <c r="O31" s="48">
        <f t="shared" si="16"/>
        <v>25313.245373194379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115880.04497157724</v>
      </c>
      <c r="F32" s="48">
        <f t="shared" si="13"/>
        <v>115880.04497157724</v>
      </c>
      <c r="G32" s="54">
        <f>+G33+G34+G35+G36</f>
        <v>0</v>
      </c>
      <c r="H32" s="54">
        <f>+H33+H34+H35+H36</f>
        <v>115880.04497157724</v>
      </c>
      <c r="I32" s="48">
        <f t="shared" si="14"/>
        <v>115880.04497157724</v>
      </c>
      <c r="J32" s="54">
        <f>+J33+J34+J35+J36</f>
        <v>0</v>
      </c>
      <c r="K32" s="54">
        <f>+K33+K34+K35+K36</f>
        <v>115880.04497157724</v>
      </c>
      <c r="L32" s="48">
        <f t="shared" si="15"/>
        <v>115880.04497157724</v>
      </c>
      <c r="M32" s="54">
        <f>+M33+M34+M35+M36</f>
        <v>0</v>
      </c>
      <c r="N32" s="54">
        <f>+N33+N34+N35+N36</f>
        <v>80000.044971577241</v>
      </c>
      <c r="O32" s="48">
        <f t="shared" si="16"/>
        <v>80000.044971577241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115880.04497157724</v>
      </c>
      <c r="F34" s="48">
        <f>D34+E34</f>
        <v>115880.04497157724</v>
      </c>
      <c r="G34" s="47">
        <v>0</v>
      </c>
      <c r="H34" s="47">
        <v>115880.04497157724</v>
      </c>
      <c r="I34" s="48">
        <f>G34+H34</f>
        <v>115880.04497157724</v>
      </c>
      <c r="J34" s="47">
        <v>0</v>
      </c>
      <c r="K34" s="158">
        <v>115880.04497157724</v>
      </c>
      <c r="L34" s="48">
        <f t="shared" si="15"/>
        <v>115880.04497157724</v>
      </c>
      <c r="M34" s="47">
        <v>0</v>
      </c>
      <c r="N34" s="158">
        <v>80000.044971577241</v>
      </c>
      <c r="O34" s="48">
        <f t="shared" si="16"/>
        <v>80000.044971577241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13537.346696310753</v>
      </c>
      <c r="E37" s="47">
        <v>0</v>
      </c>
      <c r="F37" s="48">
        <f t="shared" si="13"/>
        <v>13537.346696310753</v>
      </c>
      <c r="G37" s="147">
        <f>VLOOKUP($A$1,REM_ToolEnrico!$B$5:$J$38,5,FALSE)</f>
        <v>11995.602179785534</v>
      </c>
      <c r="H37" s="47">
        <v>0</v>
      </c>
      <c r="I37" s="48">
        <f t="shared" si="17"/>
        <v>11995.602179785534</v>
      </c>
      <c r="J37" s="147">
        <f>VLOOKUP($A$1,REM_ToolEnrico!$B$5:$J$38,7,FALSE)</f>
        <v>11651.26687302909</v>
      </c>
      <c r="K37" s="47">
        <v>0</v>
      </c>
      <c r="L37" s="48">
        <f t="shared" si="15"/>
        <v>11651.26687302909</v>
      </c>
      <c r="M37" s="147">
        <f>VLOOKUP($A$1,REM_ToolEnrico!$B$5:$J$38,9,FALSE)</f>
        <v>12387.912662887085</v>
      </c>
      <c r="N37" s="47">
        <v>0</v>
      </c>
      <c r="O37" s="48">
        <f t="shared" si="16"/>
        <v>12387.912662887085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108.76058378355934</v>
      </c>
      <c r="E38" s="47">
        <v>0</v>
      </c>
      <c r="F38" s="48">
        <f t="shared" si="13"/>
        <v>108.76058378355934</v>
      </c>
      <c r="G38" s="47">
        <v>108.97810495112647</v>
      </c>
      <c r="H38" s="47">
        <v>0</v>
      </c>
      <c r="I38" s="48">
        <f t="shared" si="17"/>
        <v>108.97810495112647</v>
      </c>
      <c r="J38" s="47">
        <v>108.97810495112647</v>
      </c>
      <c r="K38" s="47">
        <v>0</v>
      </c>
      <c r="L38" s="48">
        <f t="shared" si="15"/>
        <v>108.97810495112647</v>
      </c>
      <c r="M38" s="47">
        <v>108.97810495112647</v>
      </c>
      <c r="N38" s="47">
        <v>0</v>
      </c>
      <c r="O38" s="48">
        <f t="shared" si="16"/>
        <v>108.97810495112647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44691.183503365457</v>
      </c>
      <c r="E40" s="51">
        <f>E38+E37+E32+E31+E39</f>
        <v>115880.04497157724</v>
      </c>
      <c r="F40" s="52">
        <f t="shared" si="13"/>
        <v>160571.22847494271</v>
      </c>
      <c r="G40" s="51">
        <f>G38+G37+G32+G31+G39</f>
        <v>42215.810607989981</v>
      </c>
      <c r="H40" s="51">
        <f>H38+H37+H32+H31+H39</f>
        <v>115880.04497157724</v>
      </c>
      <c r="I40" s="52">
        <f t="shared" si="17"/>
        <v>158095.85557956723</v>
      </c>
      <c r="J40" s="51">
        <f>J38+J37+J32+J31+J39</f>
        <v>34818.310111599887</v>
      </c>
      <c r="K40" s="51">
        <f>K38+K37+K32+K31+K39</f>
        <v>115880.04497157724</v>
      </c>
      <c r="L40" s="52">
        <f t="shared" si="15"/>
        <v>150698.35508317713</v>
      </c>
      <c r="M40" s="51">
        <f>M38+M37+M32+M31+M39</f>
        <v>37810.136141032592</v>
      </c>
      <c r="N40" s="51">
        <f>N38+N37+N32+N31+N39</f>
        <v>80000.044971577241</v>
      </c>
      <c r="O40" s="52">
        <f t="shared" si="16"/>
        <v>117810.18111260983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2820.2633440474565</v>
      </c>
      <c r="E42" s="22">
        <v>0</v>
      </c>
      <c r="F42" s="36">
        <f t="shared" si="13"/>
        <v>2820.2633440474565</v>
      </c>
      <c r="G42" s="22">
        <v>3075.1064173047566</v>
      </c>
      <c r="H42" s="22">
        <v>0</v>
      </c>
      <c r="I42" s="36">
        <f t="shared" si="17"/>
        <v>3075.1064173047566</v>
      </c>
      <c r="J42" s="22">
        <v>3075.1064173047566</v>
      </c>
      <c r="K42" s="22">
        <v>0</v>
      </c>
      <c r="L42" s="36">
        <f t="shared" si="15"/>
        <v>3075.1064173047566</v>
      </c>
      <c r="M42" s="22">
        <v>3075.1064173047566</v>
      </c>
      <c r="N42" s="22">
        <v>0</v>
      </c>
      <c r="O42" s="36">
        <f t="shared" si="16"/>
        <v>3075.1064173047566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-26849.574513349558</v>
      </c>
      <c r="F44" s="36">
        <f t="shared" si="13"/>
        <v>-26849.574513349558</v>
      </c>
      <c r="G44" s="57">
        <v>-8025.6218970435166</v>
      </c>
      <c r="H44" s="57">
        <v>-26849.574513349558</v>
      </c>
      <c r="I44" s="36">
        <f t="shared" si="17"/>
        <v>-34875.196410393073</v>
      </c>
      <c r="J44" s="57">
        <v>-41.012250000000002</v>
      </c>
      <c r="K44" s="57">
        <v>0</v>
      </c>
      <c r="L44" s="36">
        <f t="shared" si="15"/>
        <v>-41.012250000000002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20993.583611473623</v>
      </c>
      <c r="F45" s="36">
        <f>E45</f>
        <v>20993.583611473623</v>
      </c>
      <c r="G45" s="34"/>
      <c r="H45" s="22">
        <f>G47*0.1</f>
        <v>20659.061503013028</v>
      </c>
      <c r="I45" s="36">
        <f>H45</f>
        <v>20659.061503013028</v>
      </c>
      <c r="J45" s="34"/>
      <c r="K45" s="22">
        <f>J47*0.1</f>
        <v>20717.77241807837</v>
      </c>
      <c r="L45" s="36">
        <f>K45</f>
        <v>20717.77241807837</v>
      </c>
      <c r="M45" s="34"/>
      <c r="N45" s="22">
        <v>0</v>
      </c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209935.83611473622</v>
      </c>
      <c r="E47" s="59">
        <f>E25+E30+E40+E41+E42+E43+E44+E45</f>
        <v>163399.70081820129</v>
      </c>
      <c r="F47" s="60">
        <f>D47+E47</f>
        <v>373335.53693293751</v>
      </c>
      <c r="G47" s="59">
        <f>G25+G30+G40+G41+G42+G43+G44+G46</f>
        <v>206590.61503013028</v>
      </c>
      <c r="H47" s="59">
        <f>H25+H30+H40+H41+H42+H43+H44+H45+H46</f>
        <v>163406.96166124073</v>
      </c>
      <c r="I47" s="60">
        <f>G47+H47</f>
        <v>369997.57669137104</v>
      </c>
      <c r="J47" s="59">
        <f>J25+J30+J40+J41+J42+J43+J44+J46</f>
        <v>207177.7241807837</v>
      </c>
      <c r="K47" s="59">
        <f>K25+K30+K40+K41+K42+K43+K44+K45+K46</f>
        <v>190315.2470896556</v>
      </c>
      <c r="L47" s="60">
        <f>J47+K47</f>
        <v>397492.97127043933</v>
      </c>
      <c r="M47" s="59">
        <f>M25+M30+M40+M41+M42+M43+M44+M46</f>
        <v>210210.5624602164</v>
      </c>
      <c r="N47" s="59">
        <f>N25+N30+N40+N41+N42+N43+N44+N45+N46</f>
        <v>133717.47467157725</v>
      </c>
      <c r="O47" s="60">
        <f>M47+N47</f>
        <v>343928.03713179368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571928.30333987088</v>
      </c>
      <c r="E49" s="65">
        <v>193003.60708248708</v>
      </c>
      <c r="F49" s="65">
        <f>D49+E49</f>
        <v>764931.91042235796</v>
      </c>
      <c r="G49" s="65">
        <f>G50</f>
        <v>589119.17618675542</v>
      </c>
      <c r="H49" s="65">
        <v>194856.67731867553</v>
      </c>
      <c r="I49" s="65">
        <f t="shared" ref="I49" si="21">G49+H49</f>
        <v>783975.85350543098</v>
      </c>
      <c r="J49" s="65">
        <f>J50</f>
        <v>601049.35572594474</v>
      </c>
      <c r="K49" s="65">
        <v>238248.03641525278</v>
      </c>
      <c r="L49" s="65">
        <f t="shared" ref="L49" si="22">J49+K49</f>
        <v>839297.39214119758</v>
      </c>
      <c r="M49" s="65">
        <f>M50</f>
        <v>608235.9917553775</v>
      </c>
      <c r="N49" s="65">
        <v>230736.96229025279</v>
      </c>
      <c r="O49" s="65">
        <f t="shared" ref="O49" si="23">M49+N49</f>
        <v>838972.95404563029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571928.30333987088</v>
      </c>
      <c r="E50" s="59">
        <f t="shared" si="24"/>
        <v>190568.23708248706</v>
      </c>
      <c r="F50" s="59">
        <f t="shared" si="24"/>
        <v>762496.54042235797</v>
      </c>
      <c r="G50" s="59">
        <f>+G23+G47</f>
        <v>589119.17618675542</v>
      </c>
      <c r="H50" s="59">
        <f t="shared" si="24"/>
        <v>192629.10731867555</v>
      </c>
      <c r="I50" s="59">
        <f t="shared" si="24"/>
        <v>781748.28350543091</v>
      </c>
      <c r="J50" s="59">
        <f t="shared" si="24"/>
        <v>601049.35572594474</v>
      </c>
      <c r="K50" s="59">
        <f>+K23+K47</f>
        <v>193822.41024417171</v>
      </c>
      <c r="L50" s="59">
        <f t="shared" si="24"/>
        <v>794871.76597011648</v>
      </c>
      <c r="M50" s="59">
        <f>+M23+M47</f>
        <v>608235.9917553775</v>
      </c>
      <c r="N50" s="59">
        <f>+N23+N47</f>
        <v>194541.07384711498</v>
      </c>
      <c r="O50" s="59">
        <f t="shared" si="24"/>
        <v>802777.06560249254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-20880.347766749404</v>
      </c>
      <c r="E51" s="68">
        <f>E44+E20</f>
        <v>-35880.284971577254</v>
      </c>
      <c r="F51" s="146"/>
      <c r="G51" s="68">
        <f>G44+G20</f>
        <v>-23522.490035579514</v>
      </c>
      <c r="H51" s="68">
        <f>H44+H20</f>
        <v>-35880.284971577254</v>
      </c>
      <c r="I51" s="146"/>
      <c r="J51" s="68">
        <f>J44+J20</f>
        <v>-4194.8099999999995</v>
      </c>
      <c r="K51" s="68">
        <f>K44+K20</f>
        <v>-35880</v>
      </c>
      <c r="L51" s="146"/>
      <c r="M51" s="68">
        <f>M44+M20</f>
        <v>0</v>
      </c>
      <c r="N51" s="68">
        <f>N44+N20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0.88580000000000003</v>
      </c>
      <c r="G53" s="72"/>
      <c r="H53" s="73"/>
      <c r="I53" s="74">
        <v>0.88580000000000003</v>
      </c>
      <c r="J53" s="72"/>
      <c r="K53" s="73"/>
      <c r="L53" s="74">
        <v>0.88580000000000003</v>
      </c>
      <c r="M53" s="72"/>
      <c r="N53" s="73"/>
      <c r="O53" s="74">
        <v>0.88580000000000003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2409.66</v>
      </c>
      <c r="G54" s="34"/>
      <c r="H54" s="76"/>
      <c r="I54" s="77">
        <v>2409.66</v>
      </c>
      <c r="J54" s="34"/>
      <c r="K54" s="76"/>
      <c r="L54" s="77">
        <v>2409.66</v>
      </c>
      <c r="M54" s="34"/>
      <c r="N54" s="76"/>
      <c r="O54" s="77">
        <v>2409.66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29.477944884670478</v>
      </c>
      <c r="G55" s="34"/>
      <c r="H55" s="76"/>
      <c r="I55" s="78">
        <v>31.206850214917011</v>
      </c>
      <c r="J55" s="34"/>
      <c r="K55" s="76"/>
      <c r="L55" s="78">
        <v>31.702870795430922</v>
      </c>
      <c r="M55" s="34"/>
      <c r="N55" s="76"/>
      <c r="O55" s="78">
        <v>32.417309447139836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27.503288823185951</v>
      </c>
      <c r="G56" s="81"/>
      <c r="H56" s="82"/>
      <c r="I56" s="78">
        <v>27.503288823185951</v>
      </c>
      <c r="J56" s="81"/>
      <c r="K56" s="82"/>
      <c r="L56" s="78">
        <v>27.503288823185951</v>
      </c>
      <c r="M56" s="81"/>
      <c r="N56" s="82"/>
      <c r="O56" s="78">
        <v>27.503288823185951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-9.2574700569734963E-2</v>
      </c>
      <c r="G60" s="90"/>
      <c r="H60" s="76"/>
      <c r="I60" s="89">
        <v>-9.2574700569734963E-2</v>
      </c>
      <c r="J60" s="34"/>
      <c r="K60" s="91"/>
      <c r="L60" s="89">
        <v>-9.2574700569734963E-2</v>
      </c>
      <c r="M60" s="34"/>
      <c r="N60" s="76"/>
      <c r="O60" s="89">
        <v>-9.2574700569734963E-2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-9.2574700569734963E-2</v>
      </c>
      <c r="G61" s="90"/>
      <c r="H61" s="76"/>
      <c r="I61" s="92">
        <v>-9.2574700569734963E-2</v>
      </c>
      <c r="J61" s="34"/>
      <c r="K61" s="76"/>
      <c r="L61" s="93">
        <v>-9.2574700569734963E-2</v>
      </c>
      <c r="M61" s="34"/>
      <c r="N61" s="76"/>
      <c r="O61" s="92">
        <v>-9.2574700569734963E-2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0.90742529943026506</v>
      </c>
      <c r="G62" s="95"/>
      <c r="H62" s="82"/>
      <c r="I62" s="94">
        <v>0.90742529943026506</v>
      </c>
      <c r="J62" s="81"/>
      <c r="K62" s="82"/>
      <c r="L62" s="94">
        <v>0.90742529943026506</v>
      </c>
      <c r="M62" s="81"/>
      <c r="N62" s="82"/>
      <c r="O62" s="94">
        <v>0.90742529943026506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762496.54042235797</v>
      </c>
      <c r="G72" s="34"/>
      <c r="H72" s="76"/>
      <c r="I72" s="108">
        <f>I50</f>
        <v>781748.28350543091</v>
      </c>
      <c r="J72" s="34"/>
      <c r="K72" s="76"/>
      <c r="L72" s="108">
        <f>L50</f>
        <v>794871.76597011648</v>
      </c>
      <c r="M72" s="34"/>
      <c r="N72" s="76"/>
      <c r="O72" s="108">
        <f>O50</f>
        <v>802777.06560249254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435316.47515974322</v>
      </c>
      <c r="G73" s="34"/>
      <c r="H73" s="76"/>
      <c r="I73" s="110">
        <f>F81</f>
        <v>389161.00348942046</v>
      </c>
      <c r="J73" s="34"/>
      <c r="K73" s="76"/>
      <c r="L73" s="110">
        <f>I81</f>
        <v>411750.70681405993</v>
      </c>
      <c r="M73" s="34"/>
      <c r="N73" s="76"/>
      <c r="O73" s="110">
        <f>L81</f>
        <v>397378.79469967715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316662.5117290261</v>
      </c>
      <c r="G74" s="34"/>
      <c r="H74" s="76"/>
      <c r="I74" s="110">
        <f>F82</f>
        <v>373335.53693293751</v>
      </c>
      <c r="J74" s="34"/>
      <c r="K74" s="76"/>
      <c r="L74" s="110">
        <f>I82</f>
        <v>369997.57669137104</v>
      </c>
      <c r="M74" s="34"/>
      <c r="N74" s="76"/>
      <c r="O74" s="110">
        <f>L82</f>
        <v>397492.97127043927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751978.98688876932</v>
      </c>
      <c r="G75" s="34"/>
      <c r="H75" s="76"/>
      <c r="I75" s="111">
        <f>SUM(I73:I74)</f>
        <v>762496.54042235797</v>
      </c>
      <c r="J75" s="34"/>
      <c r="K75" s="76"/>
      <c r="L75" s="111">
        <f>SUM(L73:L74)</f>
        <v>781748.28350543091</v>
      </c>
      <c r="M75" s="34"/>
      <c r="N75" s="76"/>
      <c r="O75" s="111">
        <f>SUM(O73:O74)</f>
        <v>794871.76597011648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1.013986499246613</v>
      </c>
      <c r="G76" s="81"/>
      <c r="H76" s="82"/>
      <c r="I76" s="112">
        <f>I72/I75</f>
        <v>1.0252483022052914</v>
      </c>
      <c r="J76" s="81"/>
      <c r="K76" s="82"/>
      <c r="L76" s="112">
        <f>L72/L75</f>
        <v>1.0167873505341625</v>
      </c>
      <c r="M76" s="81"/>
      <c r="N76" s="82"/>
      <c r="O76" s="112">
        <f>O72/O75</f>
        <v>1.0099453773184759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762496.54042235797</v>
      </c>
      <c r="G78" s="73"/>
      <c r="H78" s="73"/>
      <c r="I78" s="115">
        <f>IF(I72&lt;=I75*I71,I72,I75*I71)</f>
        <v>781748.28350543091</v>
      </c>
      <c r="J78" s="73"/>
      <c r="K78" s="73"/>
      <c r="L78" s="115">
        <f>IF(L72&lt;=L75*L71,L72,L75*L71)</f>
        <v>794871.76597011648</v>
      </c>
      <c r="M78" s="73"/>
      <c r="N78" s="73"/>
      <c r="O78" s="115">
        <f>IF(O72&lt;=O75*O71,O72,O75*O71)</f>
        <v>802777.06560249254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361992.46722513466</v>
      </c>
      <c r="E81" s="120">
        <f>E23</f>
        <v>27168.536264285773</v>
      </c>
      <c r="F81" s="115">
        <f>D81+E81</f>
        <v>389161.00348942046</v>
      </c>
      <c r="G81" s="119">
        <f>G23-I79</f>
        <v>382528.5611566251</v>
      </c>
      <c r="H81" s="120">
        <f>H23</f>
        <v>29222.145657434819</v>
      </c>
      <c r="I81" s="115">
        <f>G81+H81</f>
        <v>411750.70681405993</v>
      </c>
      <c r="J81" s="119">
        <f>J23-L79</f>
        <v>393871.63154516107</v>
      </c>
      <c r="K81" s="120">
        <f>K23</f>
        <v>3507.1631545161072</v>
      </c>
      <c r="L81" s="115">
        <f>J81+K81</f>
        <v>397378.79469967715</v>
      </c>
      <c r="M81" s="119">
        <f>M23-O79</f>
        <v>398025.4292951611</v>
      </c>
      <c r="N81" s="120">
        <f>N23-O79</f>
        <v>60823.59917553774</v>
      </c>
      <c r="O81" s="115">
        <f>M81+N81</f>
        <v>458849.02847069886</v>
      </c>
    </row>
    <row r="82" spans="1:52" s="14" customFormat="1" ht="20" customHeight="1" thickBot="1">
      <c r="B82" s="118" t="s">
        <v>72</v>
      </c>
      <c r="D82" s="121">
        <f>D50-D81-F79</f>
        <v>209935.83611473622</v>
      </c>
      <c r="E82" s="122">
        <f>E50-E81</f>
        <v>163399.70081820129</v>
      </c>
      <c r="F82" s="123">
        <f>D82+E82</f>
        <v>373335.53693293751</v>
      </c>
      <c r="G82" s="121">
        <f>G49-G81-I79</f>
        <v>206590.61503013031</v>
      </c>
      <c r="H82" s="122">
        <f>H50-H81</f>
        <v>163406.96166124073</v>
      </c>
      <c r="I82" s="123">
        <f>G82+H82</f>
        <v>369997.57669137104</v>
      </c>
      <c r="J82" s="121">
        <f>J50-J81-L79</f>
        <v>207177.72418078367</v>
      </c>
      <c r="K82" s="122">
        <f>K50-K81</f>
        <v>190315.2470896556</v>
      </c>
      <c r="L82" s="123">
        <f>J82+K82</f>
        <v>397492.97127043927</v>
      </c>
      <c r="M82" s="121">
        <f>M50-M81-O79</f>
        <v>210210.5624602164</v>
      </c>
      <c r="N82" s="122">
        <f>N50-N81-O79</f>
        <v>133717.47467157725</v>
      </c>
      <c r="O82" s="123">
        <f>M82+N82</f>
        <v>343928.03713179368</v>
      </c>
    </row>
    <row r="83" spans="1:52" s="124" customFormat="1" ht="17.25" customHeight="1" thickBot="1">
      <c r="B83" s="125" t="s">
        <v>73</v>
      </c>
      <c r="C83" s="14"/>
      <c r="D83" s="126">
        <f>SUM(D81:D82)</f>
        <v>571928.30333987088</v>
      </c>
      <c r="E83" s="127">
        <f t="shared" ref="E83:O83" si="25">SUM(E81:E82)</f>
        <v>190568.23708248706</v>
      </c>
      <c r="F83" s="128">
        <f t="shared" si="25"/>
        <v>762496.54042235797</v>
      </c>
      <c r="G83" s="126">
        <f t="shared" si="25"/>
        <v>589119.17618675542</v>
      </c>
      <c r="H83" s="127">
        <f t="shared" si="25"/>
        <v>192629.10731867555</v>
      </c>
      <c r="I83" s="128">
        <f t="shared" si="25"/>
        <v>781748.28350543091</v>
      </c>
      <c r="J83" s="126">
        <f t="shared" si="25"/>
        <v>601049.35572594474</v>
      </c>
      <c r="K83" s="127">
        <f t="shared" si="25"/>
        <v>193822.41024417171</v>
      </c>
      <c r="L83" s="128">
        <f t="shared" si="25"/>
        <v>794871.76597011648</v>
      </c>
      <c r="M83" s="126">
        <f t="shared" si="25"/>
        <v>608235.9917553775</v>
      </c>
      <c r="N83" s="127">
        <f>SUM(N81:N82)</f>
        <v>194541.07384711498</v>
      </c>
      <c r="O83" s="128">
        <f t="shared" si="25"/>
        <v>802777.06560249254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389161.00348942046</v>
      </c>
      <c r="G88" s="72"/>
      <c r="H88" s="73"/>
      <c r="I88" s="136">
        <f>I81-I85</f>
        <v>411750.70681405993</v>
      </c>
      <c r="J88" s="72"/>
      <c r="K88" s="73"/>
      <c r="L88" s="136">
        <f>L81-L85</f>
        <v>397378.79469967715</v>
      </c>
      <c r="M88" s="72"/>
      <c r="N88" s="73"/>
      <c r="O88" s="136">
        <f>O81-O85</f>
        <v>458849.02847069886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373335.53693293751</v>
      </c>
      <c r="G89" s="34"/>
      <c r="H89" s="76"/>
      <c r="I89" s="138">
        <f>I82-I86</f>
        <v>369997.57669137104</v>
      </c>
      <c r="J89" s="34"/>
      <c r="K89" s="76"/>
      <c r="L89" s="138">
        <f>L82-L86</f>
        <v>397492.97127043927</v>
      </c>
      <c r="M89" s="34"/>
      <c r="N89" s="76"/>
      <c r="O89" s="138">
        <f>O82-O86</f>
        <v>343928.03713179368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762496.54042235797</v>
      </c>
      <c r="G90" s="81"/>
      <c r="H90" s="82"/>
      <c r="I90" s="139">
        <f>+I88+I89</f>
        <v>781748.28350543091</v>
      </c>
      <c r="J90" s="81"/>
      <c r="K90" s="82"/>
      <c r="L90" s="139">
        <f>+L88+L89</f>
        <v>794871.76597011648</v>
      </c>
      <c r="M90" s="81"/>
      <c r="N90" s="82"/>
      <c r="O90" s="139">
        <f>+O88+O89</f>
        <v>802777.06560249254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-75.810574169987376</v>
      </c>
      <c r="E92" s="143">
        <v>0</v>
      </c>
      <c r="F92" s="144">
        <f>D92+E92</f>
        <v>-75.810574169987376</v>
      </c>
      <c r="G92" s="142">
        <v>-3593.8661447217296</v>
      </c>
      <c r="H92" s="143">
        <v>0</v>
      </c>
      <c r="I92" s="144">
        <f>G92+H92</f>
        <v>-3593.8661447217296</v>
      </c>
      <c r="J92" s="142">
        <v>-3593.8661447217296</v>
      </c>
      <c r="K92" s="143">
        <v>0</v>
      </c>
      <c r="L92" s="144">
        <f>J92+K92</f>
        <v>-3593.8661447217296</v>
      </c>
      <c r="M92" s="142">
        <v>-3593.8661447217296</v>
      </c>
      <c r="N92" s="143">
        <v>0</v>
      </c>
      <c r="O92" s="144">
        <f>M92+N92</f>
        <v>-3593.8661447217296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635674.3105207528</v>
      </c>
      <c r="E96" s="166">
        <f>E6+E7+E8+E9+E11+E25+E30+E40+E42+E21+E45</f>
        <v>226448.52205406432</v>
      </c>
      <c r="F96" s="166">
        <f t="shared" ref="F96" si="26">F6+F7+F8+F9+F11+F25+F30+F40+F42</f>
        <v>804930.0022408301</v>
      </c>
      <c r="G96" s="166">
        <f t="shared" ref="G96" si="27">G6+G7+G8+G9+G11+G25+G30+G40+G42+G21+G45</f>
        <v>655464.50279988989</v>
      </c>
      <c r="H96" s="166">
        <f t="shared" ref="H96" si="28">H6+H7+H8+H9+H11+H25+H30+H40+H42</f>
        <v>169597.47467157725</v>
      </c>
      <c r="I96" s="166">
        <f t="shared" ref="I96" si="29">I6+I7+I8+I9+I11+I25+I30+I40+I42+I21+I45</f>
        <v>883973.89509014261</v>
      </c>
      <c r="J96" s="166">
        <f t="shared" ref="J96" si="30">J6+J7+J8+J9+J11+J25+J30+J40+J42</f>
        <v>648067.00230349973</v>
      </c>
      <c r="K96" s="166">
        <f t="shared" ref="K96" si="31">K6+K7+K8+K9+K11+K25+K30+K40+K42+K21+K45</f>
        <v>229702.41024417174</v>
      </c>
      <c r="L96" s="166">
        <f t="shared" ref="L96" si="32">L6+L7+L8+L9+L11+L25+L30+L40+L42</f>
        <v>817664.47697507695</v>
      </c>
      <c r="M96" s="166">
        <f>M6+M7+M8+M9+M11+M25+M30+M40+M42+M21+M45</f>
        <v>651058.82833293243</v>
      </c>
      <c r="N96" s="166">
        <f>N6+N7+N8+N21+N45+N11+N25+N30+N40+N45</f>
        <v>194541.07384711498</v>
      </c>
      <c r="O96" s="166">
        <f t="shared" ref="O96" si="33">O6+O7+O8+O9+O11+O25+O30+O40+O42+O21+O45</f>
        <v>845599.90218004736</v>
      </c>
    </row>
    <row r="97" spans="4:15" s="14" customFormat="1">
      <c r="D97" s="166">
        <f>D96-D15-D19</f>
        <v>592808.65110662021</v>
      </c>
      <c r="E97" s="166">
        <f>E96-E15-E19</f>
        <v>226448.52205406432</v>
      </c>
      <c r="F97" s="166">
        <f t="shared" ref="F97:O97" si="34">F96-F15-F19</f>
        <v>762064.34282669751</v>
      </c>
      <c r="G97" s="166">
        <f t="shared" si="34"/>
        <v>612641.66622233484</v>
      </c>
      <c r="H97" s="166">
        <f t="shared" si="34"/>
        <v>169597.47467157725</v>
      </c>
      <c r="I97" s="166">
        <f t="shared" si="34"/>
        <v>841151.05851258757</v>
      </c>
      <c r="J97" s="166">
        <f t="shared" si="34"/>
        <v>605244.16572594468</v>
      </c>
      <c r="K97" s="166">
        <f t="shared" si="34"/>
        <v>229702.41024417174</v>
      </c>
      <c r="L97" s="166">
        <f t="shared" si="34"/>
        <v>774841.6403975219</v>
      </c>
      <c r="M97" s="166">
        <f>M96-M15-M19</f>
        <v>608235.99175537738</v>
      </c>
      <c r="N97" s="166">
        <f t="shared" si="34"/>
        <v>194541.07384711498</v>
      </c>
      <c r="O97" s="166">
        <f t="shared" si="34"/>
        <v>802777.06560249231</v>
      </c>
    </row>
    <row r="98" spans="4:15" s="14" customFormat="1">
      <c r="D98" s="166">
        <f>D20+D44</f>
        <v>-20880.347766749404</v>
      </c>
      <c r="E98" s="166">
        <f>E20+E44</f>
        <v>-35880.284971577254</v>
      </c>
      <c r="F98" s="166">
        <f t="shared" ref="F98:O98" si="35">F20+F44</f>
        <v>-56760.632738326654</v>
      </c>
      <c r="G98" s="166">
        <f t="shared" si="35"/>
        <v>-23522.490035579514</v>
      </c>
      <c r="H98" s="166">
        <f t="shared" si="35"/>
        <v>-35880.284971577254</v>
      </c>
      <c r="I98" s="166">
        <f t="shared" si="35"/>
        <v>-59402.775007156764</v>
      </c>
      <c r="J98" s="166">
        <f t="shared" si="35"/>
        <v>-4194.8099999999995</v>
      </c>
      <c r="K98" s="166">
        <f t="shared" si="35"/>
        <v>-35880</v>
      </c>
      <c r="L98" s="166">
        <f>L20+L44</f>
        <v>-40074.81</v>
      </c>
      <c r="M98" s="166">
        <f>M20+M44</f>
        <v>0</v>
      </c>
      <c r="N98" s="166">
        <f t="shared" si="35"/>
        <v>0</v>
      </c>
      <c r="O98" s="166">
        <f t="shared" si="35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215" priority="7" operator="containsText" text="ERRORE">
      <formula>NOT(ISERROR(SEARCH("ERRORE",F81)))</formula>
    </cfRule>
  </conditionalFormatting>
  <conditionalFormatting sqref="I83">
    <cfRule type="containsText" dxfId="214" priority="6" operator="containsText" text="ERRORE">
      <formula>NOT(ISERROR(SEARCH("ERRORE",I83)))</formula>
    </cfRule>
  </conditionalFormatting>
  <conditionalFormatting sqref="I81:I82">
    <cfRule type="containsText" dxfId="213" priority="5" operator="containsText" text="ERRORE">
      <formula>NOT(ISERROR(SEARCH("ERRORE",I81)))</formula>
    </cfRule>
  </conditionalFormatting>
  <conditionalFormatting sqref="L83">
    <cfRule type="containsText" dxfId="212" priority="4" operator="containsText" text="ERRORE">
      <formula>NOT(ISERROR(SEARCH("ERRORE",L83)))</formula>
    </cfRule>
  </conditionalFormatting>
  <conditionalFormatting sqref="L81:L82">
    <cfRule type="containsText" dxfId="211" priority="3" operator="containsText" text="ERRORE">
      <formula>NOT(ISERROR(SEARCH("ERRORE",L81)))</formula>
    </cfRule>
  </conditionalFormatting>
  <conditionalFormatting sqref="O83">
    <cfRule type="containsText" dxfId="210" priority="2" operator="containsText" text="ERRORE">
      <formula>NOT(ISERROR(SEARCH("ERRORE",O83)))</formula>
    </cfRule>
  </conditionalFormatting>
  <conditionalFormatting sqref="O81:O82">
    <cfRule type="containsText" dxfId="209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588"/>
  <sheetViews>
    <sheetView topLeftCell="C13" zoomScale="70" zoomScaleNormal="70" zoomScalePageLayoutView="70" workbookViewId="0">
      <selection activeCell="J44" sqref="J44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88</v>
      </c>
      <c r="B1" s="2" t="str">
        <f>"       PEF 2022 - 2025"&amp;" - "&amp;A1</f>
        <v xml:space="preserve">       PEF 2022 - 2025 - Chioggia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131</v>
      </c>
      <c r="E4" s="188"/>
      <c r="F4" s="189"/>
      <c r="G4" s="187" t="str">
        <f>D4</f>
        <v>Ambito tariffario: Chioggia</v>
      </c>
      <c r="H4" s="188"/>
      <c r="I4" s="189"/>
      <c r="J4" s="187" t="str">
        <f>D4</f>
        <v>Ambito tariffario: Chioggia</v>
      </c>
      <c r="K4" s="188"/>
      <c r="L4" s="189"/>
      <c r="M4" s="187" t="str">
        <f>D4</f>
        <v>Ambito tariffario: Chioggia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1510297.1595308355</v>
      </c>
      <c r="E6" s="22">
        <v>0</v>
      </c>
      <c r="F6" s="23">
        <f>D6+E6</f>
        <v>1510297.1595308355</v>
      </c>
      <c r="G6" s="22">
        <v>1562332.6368126802</v>
      </c>
      <c r="H6" s="22">
        <v>0</v>
      </c>
      <c r="I6" s="23">
        <f>G6+H6</f>
        <v>1562332.6368126802</v>
      </c>
      <c r="J6" s="22">
        <v>1562332.6368126802</v>
      </c>
      <c r="K6" s="22">
        <v>0</v>
      </c>
      <c r="L6" s="23">
        <f>J6+K6</f>
        <v>1562332.6368126802</v>
      </c>
      <c r="M6" s="22">
        <v>1562332.6368126802</v>
      </c>
      <c r="N6" s="22">
        <v>0</v>
      </c>
      <c r="O6" s="23">
        <f>M6+N6</f>
        <v>1562332.6368126802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1775708.4490463217</v>
      </c>
      <c r="E7" s="22">
        <v>0</v>
      </c>
      <c r="F7" s="23">
        <f t="shared" ref="F7:F20" si="0">D7+E7</f>
        <v>1775708.4490463217</v>
      </c>
      <c r="G7" s="22">
        <v>1858778.7403268216</v>
      </c>
      <c r="H7" s="22">
        <v>0</v>
      </c>
      <c r="I7" s="23">
        <f t="shared" ref="I7:I13" si="1">G7+H7</f>
        <v>1858778.7403268216</v>
      </c>
      <c r="J7" s="22">
        <v>1858778.7403268216</v>
      </c>
      <c r="K7" s="22">
        <v>0</v>
      </c>
      <c r="L7" s="23">
        <f t="shared" ref="L7:L12" si="2">J7+K7</f>
        <v>1858778.7403268216</v>
      </c>
      <c r="M7" s="22">
        <v>1858778.7403268216</v>
      </c>
      <c r="N7" s="22">
        <v>0</v>
      </c>
      <c r="O7" s="23">
        <f t="shared" ref="O7:O13" si="3">M7+N7</f>
        <v>1858778.7403268216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1839650.5204626194</v>
      </c>
      <c r="E8" s="22">
        <v>0</v>
      </c>
      <c r="F8" s="23">
        <f t="shared" si="0"/>
        <v>1839650.5204626194</v>
      </c>
      <c r="G8" s="22">
        <v>1925757.2337207766</v>
      </c>
      <c r="H8" s="22">
        <v>0</v>
      </c>
      <c r="I8" s="23">
        <f t="shared" si="1"/>
        <v>1925757.2337207766</v>
      </c>
      <c r="J8" s="22">
        <v>1925757.2337207766</v>
      </c>
      <c r="K8" s="22">
        <v>0</v>
      </c>
      <c r="L8" s="23">
        <f t="shared" si="2"/>
        <v>1925757.2337207766</v>
      </c>
      <c r="M8" s="22">
        <v>1925757.2337207766</v>
      </c>
      <c r="N8" s="22">
        <v>0</v>
      </c>
      <c r="O8" s="23">
        <f t="shared" si="3"/>
        <v>1925757.2337207766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3424601.2026321273</v>
      </c>
      <c r="E9" s="22">
        <v>0</v>
      </c>
      <c r="F9" s="23">
        <f t="shared" si="0"/>
        <v>3424601.2026321273</v>
      </c>
      <c r="G9" s="22">
        <v>3521324.9516605171</v>
      </c>
      <c r="H9" s="22">
        <v>0</v>
      </c>
      <c r="I9" s="23">
        <f t="shared" si="1"/>
        <v>3521324.9516605171</v>
      </c>
      <c r="J9" s="22">
        <v>3521324.9516605171</v>
      </c>
      <c r="K9" s="22">
        <v>0</v>
      </c>
      <c r="L9" s="23">
        <f t="shared" si="2"/>
        <v>3521324.9516605171</v>
      </c>
      <c r="M9" s="22">
        <v>3521324.9516605171</v>
      </c>
      <c r="N9" s="22">
        <v>0</v>
      </c>
      <c r="O9" s="23">
        <f t="shared" si="3"/>
        <v>3521324.9516605171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24916.541530671762</v>
      </c>
      <c r="E11" s="22">
        <v>0</v>
      </c>
      <c r="F11" s="23">
        <f t="shared" si="0"/>
        <v>24916.541530671762</v>
      </c>
      <c r="G11" s="22">
        <v>24916.541530671762</v>
      </c>
      <c r="H11" s="22">
        <v>0</v>
      </c>
      <c r="I11" s="23">
        <f t="shared" si="1"/>
        <v>24916.541530671762</v>
      </c>
      <c r="J11" s="22">
        <v>24916.541530671762</v>
      </c>
      <c r="K11" s="22">
        <v>0</v>
      </c>
      <c r="L11" s="23">
        <f t="shared" si="2"/>
        <v>24916.541530671762</v>
      </c>
      <c r="M11" s="22">
        <v>24916.541530671762</v>
      </c>
      <c r="N11" s="22">
        <v>0</v>
      </c>
      <c r="O11" s="23">
        <f t="shared" si="3"/>
        <v>24916.541530671762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475923.89734890021</v>
      </c>
      <c r="E13" s="22">
        <v>0</v>
      </c>
      <c r="F13" s="23">
        <f t="shared" si="0"/>
        <v>475923.89734890021</v>
      </c>
      <c r="G13" s="22">
        <v>475448.44890000025</v>
      </c>
      <c r="H13" s="22">
        <v>0</v>
      </c>
      <c r="I13" s="23">
        <f t="shared" si="1"/>
        <v>475448.44890000025</v>
      </c>
      <c r="J13" s="22">
        <v>475448.44890000025</v>
      </c>
      <c r="K13" s="22">
        <v>0</v>
      </c>
      <c r="L13" s="23">
        <f>J13+K13</f>
        <v>475448.44890000025</v>
      </c>
      <c r="M13" s="22">
        <v>475448.44890000025</v>
      </c>
      <c r="N13" s="22">
        <v>0</v>
      </c>
      <c r="O13" s="23">
        <f t="shared" si="3"/>
        <v>475448.44890000025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177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285554.33840934013</v>
      </c>
      <c r="E15" s="22">
        <v>0</v>
      </c>
      <c r="F15" s="23">
        <f t="shared" si="0"/>
        <v>285554.33840934013</v>
      </c>
      <c r="G15" s="22">
        <v>285269.06934000016</v>
      </c>
      <c r="H15" s="22">
        <v>0</v>
      </c>
      <c r="I15" s="23">
        <f t="shared" ref="I15:I16" si="4">G15+H15</f>
        <v>285269.06934000016</v>
      </c>
      <c r="J15" s="22">
        <v>285269.06934000016</v>
      </c>
      <c r="K15" s="22">
        <v>0</v>
      </c>
      <c r="L15" s="23">
        <f t="shared" ref="L15:L16" si="5">J15+K15</f>
        <v>285269.06934000016</v>
      </c>
      <c r="M15" s="22">
        <v>285269.06934000016</v>
      </c>
      <c r="N15" s="22">
        <v>0</v>
      </c>
      <c r="O15" s="23">
        <f t="shared" ref="O15:O16" si="6">M15+N15</f>
        <v>285269.06934000016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28672.49631723273</v>
      </c>
      <c r="E16" s="22">
        <v>0</v>
      </c>
      <c r="F16" s="23">
        <f t="shared" si="0"/>
        <v>28672.49631723273</v>
      </c>
      <c r="G16" s="22">
        <v>28643.852464767962</v>
      </c>
      <c r="H16" s="22">
        <v>0</v>
      </c>
      <c r="I16" s="23">
        <f t="shared" si="4"/>
        <v>28643.852464767962</v>
      </c>
      <c r="J16" s="22">
        <v>28643.852464767962</v>
      </c>
      <c r="K16" s="22">
        <v>0</v>
      </c>
      <c r="L16" s="23">
        <f t="shared" si="5"/>
        <v>28643.852464767962</v>
      </c>
      <c r="M16" s="22">
        <v>28643.852464767962</v>
      </c>
      <c r="N16" s="22">
        <v>0</v>
      </c>
      <c r="O16" s="23">
        <f t="shared" si="6"/>
        <v>28643.852464767962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0.4</v>
      </c>
      <c r="E17" s="29">
        <v>0.4</v>
      </c>
      <c r="F17" s="30">
        <f>D17</f>
        <v>0.4</v>
      </c>
      <c r="G17" s="29">
        <v>0.4</v>
      </c>
      <c r="H17" s="29">
        <v>0.4</v>
      </c>
      <c r="I17" s="30">
        <f>G17</f>
        <v>0.4</v>
      </c>
      <c r="J17" s="29">
        <v>0.4</v>
      </c>
      <c r="K17" s="29">
        <v>0.4</v>
      </c>
      <c r="L17" s="30">
        <v>0.4</v>
      </c>
      <c r="M17" s="29">
        <v>0.4</v>
      </c>
      <c r="N17" s="29">
        <v>0.4</v>
      </c>
      <c r="O17" s="30">
        <f>N17</f>
        <v>0.4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0.84</v>
      </c>
      <c r="E18" s="29">
        <v>0.84</v>
      </c>
      <c r="F18" s="31">
        <f>IF(D18=E18,D18,"n.d.")</f>
        <v>0.84</v>
      </c>
      <c r="G18" s="29">
        <v>0.84</v>
      </c>
      <c r="H18" s="29">
        <v>0.84</v>
      </c>
      <c r="I18" s="31">
        <f>IF(G18=H18,G18,"n.d.")</f>
        <v>0.84</v>
      </c>
      <c r="J18" s="29">
        <v>0.84</v>
      </c>
      <c r="K18" s="29">
        <v>0.84</v>
      </c>
      <c r="L18" s="31">
        <f>IF(J18=K18,J18,"n.d.")</f>
        <v>0.84</v>
      </c>
      <c r="M18" s="29">
        <v>0.84</v>
      </c>
      <c r="N18" s="29">
        <v>0.84</v>
      </c>
      <c r="O18" s="31">
        <f>IF(M18=N18,M18,"n.d.")</f>
        <v>0.84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f>D16*D18</f>
        <v>24084.896906475493</v>
      </c>
      <c r="E19" s="22">
        <v>0</v>
      </c>
      <c r="F19" s="23">
        <f t="shared" si="0"/>
        <v>24084.896906475493</v>
      </c>
      <c r="G19" s="22">
        <f>G16*G18</f>
        <v>24060.836070405087</v>
      </c>
      <c r="H19" s="22">
        <v>0</v>
      </c>
      <c r="I19" s="23">
        <f t="shared" ref="I19:I20" si="7">G19+H19</f>
        <v>24060.836070405087</v>
      </c>
      <c r="J19" s="22">
        <f>J16*J18</f>
        <v>24060.836070405087</v>
      </c>
      <c r="K19" s="22">
        <v>0</v>
      </c>
      <c r="L19" s="23">
        <f t="shared" ref="L19:L20" si="8">J19+K19</f>
        <v>24060.836070405087</v>
      </c>
      <c r="M19" s="22">
        <f>M16*M18</f>
        <v>24060.836070405087</v>
      </c>
      <c r="N19" s="33">
        <v>0</v>
      </c>
      <c r="O19" s="23">
        <f t="shared" ref="O19:O20" si="9">M19+N19</f>
        <v>24060.836070405087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22">
        <v>0</v>
      </c>
      <c r="F20" s="23">
        <f t="shared" si="0"/>
        <v>0</v>
      </c>
      <c r="G20" s="22">
        <v>0</v>
      </c>
      <c r="H20" s="22">
        <v>0</v>
      </c>
      <c r="I20" s="23">
        <f t="shared" si="7"/>
        <v>0</v>
      </c>
      <c r="J20" s="22">
        <v>0</v>
      </c>
      <c r="K20" s="22">
        <v>0</v>
      </c>
      <c r="L20" s="23">
        <f t="shared" si="8"/>
        <v>0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826553.46378867619</v>
      </c>
      <c r="F21" s="23">
        <f>E21</f>
        <v>826553.46378867619</v>
      </c>
      <c r="G21" s="34"/>
      <c r="H21" s="22">
        <f>G23*0.1</f>
        <v>858378.01986410643</v>
      </c>
      <c r="I21" s="23">
        <f>H21</f>
        <v>858378.01986410643</v>
      </c>
      <c r="J21" s="34"/>
      <c r="K21" s="22">
        <f>J23*0.1</f>
        <v>858378.01986410643</v>
      </c>
      <c r="L21" s="23">
        <f>K21</f>
        <v>858378.01986410643</v>
      </c>
      <c r="M21" s="34"/>
      <c r="N21" s="22">
        <f>M23*0.1</f>
        <v>858378.01986410643</v>
      </c>
      <c r="O21" s="23">
        <f>N21</f>
        <v>858378.01986410643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8265534.6378867617</v>
      </c>
      <c r="E23" s="38">
        <f>E6+E7+E8+E9+E10+E11+E12-E15-E19+E20+E21</f>
        <v>826553.46378867619</v>
      </c>
      <c r="F23" s="38">
        <f>D23+E23</f>
        <v>9092088.1016754378</v>
      </c>
      <c r="G23" s="38">
        <f>G6+G7+G8+G9+G10+G11+G12-G15-G19+G20+G22</f>
        <v>8583780.1986410636</v>
      </c>
      <c r="H23" s="38">
        <f>H6+H7+H8+H9+H10+H11+H12-H15-H19+H20+H21+H22</f>
        <v>858378.01986410643</v>
      </c>
      <c r="I23" s="38">
        <f>G23+H23</f>
        <v>9442158.2185051702</v>
      </c>
      <c r="J23" s="38">
        <f>J6+J7+J8+J9+J10+J11+J12-J15-J19+J20+J22</f>
        <v>8583780.1986410636</v>
      </c>
      <c r="K23" s="38">
        <f>K6+K7+K8+K9+K10+K11+K12-K15-K19+K20+K21+K22</f>
        <v>858378.01986410643</v>
      </c>
      <c r="L23" s="38">
        <f>J23+K23</f>
        <v>9442158.2185051702</v>
      </c>
      <c r="M23" s="38">
        <f>M6+M7+M8+M9+M10+M11+M12-M15-M19+M20+M22</f>
        <v>8583780.1986410636</v>
      </c>
      <c r="N23" s="38">
        <f>N6+N7+N8+N9+N10+N11+N12-N15-N19+N20+N21+N22</f>
        <v>858378.01986410643</v>
      </c>
      <c r="O23" s="38">
        <f>M23+N23</f>
        <v>9442158.2185051702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168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1791271.0419414323</v>
      </c>
      <c r="E25" s="44">
        <v>0</v>
      </c>
      <c r="F25" s="45">
        <f t="shared" ref="F25:F44" si="13">D25+E25</f>
        <v>1791271.0419414323</v>
      </c>
      <c r="G25" s="44">
        <v>1872338.599992146</v>
      </c>
      <c r="H25" s="44">
        <v>0</v>
      </c>
      <c r="I25" s="45">
        <f t="shared" ref="I25:I33" si="14">G25+H25</f>
        <v>1872338.599992146</v>
      </c>
      <c r="J25" s="44">
        <v>1872338.599992146</v>
      </c>
      <c r="K25" s="44">
        <v>0</v>
      </c>
      <c r="L25" s="45">
        <f t="shared" ref="L25:L44" si="15">J25+K25</f>
        <v>1872338.599992146</v>
      </c>
      <c r="M25" s="44">
        <v>1872338.599992146</v>
      </c>
      <c r="N25" s="44">
        <v>0</v>
      </c>
      <c r="O25" s="45">
        <f t="shared" ref="O25:O43" si="16">M25+N25</f>
        <v>1872338.599992146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817296.25057194114</v>
      </c>
      <c r="E26" s="22">
        <v>13097.200116</v>
      </c>
      <c r="F26" s="36">
        <f t="shared" si="13"/>
        <v>830393.45068794116</v>
      </c>
      <c r="G26" s="22">
        <v>841238.29664525157</v>
      </c>
      <c r="H26" s="22">
        <v>13084.116</v>
      </c>
      <c r="I26" s="36">
        <f t="shared" si="14"/>
        <v>854322.41264525161</v>
      </c>
      <c r="J26" s="22">
        <v>841238.29664525157</v>
      </c>
      <c r="K26" s="22">
        <v>13084.116</v>
      </c>
      <c r="L26" s="36">
        <f t="shared" si="15"/>
        <v>854322.41264525161</v>
      </c>
      <c r="M26" s="22">
        <v>841238.29664525157</v>
      </c>
      <c r="N26" s="22">
        <v>13084.116</v>
      </c>
      <c r="O26" s="36">
        <f t="shared" si="16"/>
        <v>854322.41264525161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159">
        <v>1065467.11834495</v>
      </c>
      <c r="E27" s="47">
        <v>0</v>
      </c>
      <c r="F27" s="48">
        <f t="shared" si="13"/>
        <v>1065467.11834495</v>
      </c>
      <c r="G27" s="47">
        <v>1296624.7369841589</v>
      </c>
      <c r="H27" s="47">
        <v>0</v>
      </c>
      <c r="I27" s="48">
        <f t="shared" si="14"/>
        <v>1296624.7369841589</v>
      </c>
      <c r="J27" s="47">
        <v>1296624.7369841589</v>
      </c>
      <c r="K27" s="47">
        <v>0</v>
      </c>
      <c r="L27" s="48">
        <f t="shared" si="15"/>
        <v>1296624.7369841589</v>
      </c>
      <c r="M27" s="47">
        <v>1296624.7369841589</v>
      </c>
      <c r="N27" s="47">
        <v>0</v>
      </c>
      <c r="O27" s="48">
        <f t="shared" si="16"/>
        <v>1296624.7369841589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8039.4316966073757</v>
      </c>
      <c r="E29" s="47">
        <v>29840.999999999996</v>
      </c>
      <c r="F29" s="48">
        <f t="shared" si="13"/>
        <v>37880.431696607375</v>
      </c>
      <c r="G29" s="47">
        <v>8097.1882467463283</v>
      </c>
      <c r="H29" s="47">
        <v>469841</v>
      </c>
      <c r="I29" s="48">
        <f t="shared" si="14"/>
        <v>477938.18824674631</v>
      </c>
      <c r="J29" s="47">
        <v>8097.1882467463283</v>
      </c>
      <c r="K29" s="47">
        <v>469841</v>
      </c>
      <c r="L29" s="48">
        <f t="shared" si="15"/>
        <v>477938.18824674631</v>
      </c>
      <c r="M29" s="47">
        <v>8097.1882467463283</v>
      </c>
      <c r="N29" s="47">
        <v>469841</v>
      </c>
      <c r="O29" s="48">
        <f t="shared" si="16"/>
        <v>477938.18824674631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1890802.8006134983</v>
      </c>
      <c r="E30" s="51">
        <f>+E26+E27+E28+E29</f>
        <v>42938.200115999993</v>
      </c>
      <c r="F30" s="52">
        <f t="shared" si="13"/>
        <v>1933741.0007294982</v>
      </c>
      <c r="G30" s="51">
        <f>+G26+G27+G28+G29</f>
        <v>2145960.221876157</v>
      </c>
      <c r="H30" s="51">
        <f>+H26+H27+H28+H29</f>
        <v>482925.11599999998</v>
      </c>
      <c r="I30" s="52">
        <f t="shared" si="14"/>
        <v>2628885.3378761569</v>
      </c>
      <c r="J30" s="51">
        <f>+J26+J27+J28+J29</f>
        <v>2145960.221876157</v>
      </c>
      <c r="K30" s="51">
        <f>+K26+K27+K28+K29</f>
        <v>482925.11599999998</v>
      </c>
      <c r="L30" s="52">
        <f t="shared" si="15"/>
        <v>2628885.3378761569</v>
      </c>
      <c r="M30" s="51">
        <f>+M26+M27+M28+M29</f>
        <v>2145960.221876157</v>
      </c>
      <c r="N30" s="51">
        <f>+N26+N27+N28+N29</f>
        <v>482925.11599999998</v>
      </c>
      <c r="O30" s="52">
        <f t="shared" si="16"/>
        <v>2628885.3378761569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598307.79860810656</v>
      </c>
      <c r="E31" s="167">
        <v>87754.52</v>
      </c>
      <c r="F31" s="48">
        <f t="shared" si="13"/>
        <v>686062.31860810658</v>
      </c>
      <c r="G31" s="147">
        <f>VLOOKUP($A$1,REM_ToolEnrico!$B$5:$J$38,4,FALSE)</f>
        <v>579925.40525421675</v>
      </c>
      <c r="H31" s="167">
        <v>87754.52</v>
      </c>
      <c r="I31" s="48">
        <f t="shared" si="14"/>
        <v>667679.92525421677</v>
      </c>
      <c r="J31" s="147">
        <f>VLOOKUP($A$1,REM_ToolEnrico!$B$5:$J$38,6,FALSE)</f>
        <v>617344.90361310053</v>
      </c>
      <c r="K31" s="167">
        <v>87754.52</v>
      </c>
      <c r="L31" s="48">
        <f t="shared" si="15"/>
        <v>705099.42361310055</v>
      </c>
      <c r="M31" s="147">
        <f>VLOOKUP($A$1,REM_ToolEnrico!$B$5:$J$38,8,FALSE)</f>
        <v>611166.74323717551</v>
      </c>
      <c r="N31" s="167">
        <v>87754.52</v>
      </c>
      <c r="O31" s="48">
        <f t="shared" si="16"/>
        <v>698921.26323717553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1845676.9999999998</v>
      </c>
      <c r="F32" s="48">
        <f t="shared" si="13"/>
        <v>1845676.9999999998</v>
      </c>
      <c r="G32" s="54">
        <f>+G33+G34+G35+G36</f>
        <v>0</v>
      </c>
      <c r="H32" s="54">
        <f>+H33+H34+H35+H36</f>
        <v>1723129</v>
      </c>
      <c r="I32" s="48">
        <f t="shared" si="14"/>
        <v>1723129</v>
      </c>
      <c r="J32" s="54">
        <f>+J33+J34+J35+J36</f>
        <v>0</v>
      </c>
      <c r="K32" s="54">
        <f>+K33+K34+K35+K36</f>
        <v>1723129</v>
      </c>
      <c r="L32" s="48">
        <f t="shared" si="15"/>
        <v>1723129</v>
      </c>
      <c r="M32" s="54">
        <f>+M33+M34+M35+M36</f>
        <v>0</v>
      </c>
      <c r="N32" s="54">
        <f>+N33+N34+N35+N36</f>
        <v>1723129</v>
      </c>
      <c r="O32" s="48">
        <f t="shared" si="16"/>
        <v>1723129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1845676.9999999998</v>
      </c>
      <c r="F34" s="48">
        <f>D34+E34</f>
        <v>1845676.9999999998</v>
      </c>
      <c r="G34" s="47">
        <v>0</v>
      </c>
      <c r="H34" s="47">
        <v>1723129</v>
      </c>
      <c r="I34" s="48">
        <f>G34+H34</f>
        <v>1723129</v>
      </c>
      <c r="J34" s="47">
        <v>0</v>
      </c>
      <c r="K34" s="158">
        <v>1723129</v>
      </c>
      <c r="L34" s="48">
        <f t="shared" si="15"/>
        <v>1723129</v>
      </c>
      <c r="M34" s="47">
        <v>0</v>
      </c>
      <c r="N34" s="158">
        <v>1723129</v>
      </c>
      <c r="O34" s="48">
        <f t="shared" si="16"/>
        <v>1723129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111786.12503974258</v>
      </c>
      <c r="E37" s="47">
        <v>0</v>
      </c>
      <c r="F37" s="48">
        <f t="shared" si="13"/>
        <v>111786.12503974258</v>
      </c>
      <c r="G37" s="147">
        <f>VLOOKUP($A$1,REM_ToolEnrico!$B$5:$J$38,5,FALSE)</f>
        <v>80778.353928621116</v>
      </c>
      <c r="H37" s="47">
        <v>0</v>
      </c>
      <c r="I37" s="48">
        <f t="shared" si="17"/>
        <v>80778.353928621116</v>
      </c>
      <c r="J37" s="147">
        <f>VLOOKUP($A$1,REM_ToolEnrico!$B$5:$J$38,7,FALSE)</f>
        <v>74604.923392569908</v>
      </c>
      <c r="K37" s="47">
        <v>0</v>
      </c>
      <c r="L37" s="48">
        <f t="shared" si="15"/>
        <v>74604.923392569908</v>
      </c>
      <c r="M37" s="147">
        <f>VLOOKUP($A$1,REM_ToolEnrico!$B$5:$J$38,9,FALSE)</f>
        <v>61544.273588817465</v>
      </c>
      <c r="N37" s="47">
        <v>0</v>
      </c>
      <c r="O37" s="48">
        <f t="shared" si="16"/>
        <v>61544.273588817465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10730.69145749907</v>
      </c>
      <c r="E38" s="47">
        <v>0</v>
      </c>
      <c r="F38" s="48">
        <f t="shared" si="13"/>
        <v>10730.69145749907</v>
      </c>
      <c r="G38" s="47">
        <v>10752.152840414068</v>
      </c>
      <c r="H38" s="47">
        <v>0</v>
      </c>
      <c r="I38" s="48">
        <f t="shared" si="17"/>
        <v>10752.152840414068</v>
      </c>
      <c r="J38" s="47">
        <v>10752.152840414068</v>
      </c>
      <c r="K38" s="47">
        <v>0</v>
      </c>
      <c r="L38" s="48">
        <f t="shared" si="15"/>
        <v>10752.152840414068</v>
      </c>
      <c r="M38" s="47">
        <v>10752.152840414068</v>
      </c>
      <c r="N38" s="47">
        <v>0</v>
      </c>
      <c r="O38" s="48">
        <f t="shared" si="16"/>
        <v>10752.152840414068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720824.61510534817</v>
      </c>
      <c r="E40" s="51">
        <f>E38+E37+E32+E31+E39</f>
        <v>1933431.5199999998</v>
      </c>
      <c r="F40" s="52">
        <f t="shared" si="13"/>
        <v>2654256.1351053482</v>
      </c>
      <c r="G40" s="51">
        <f>G38+G37+G32+G31+G39</f>
        <v>671455.91202325188</v>
      </c>
      <c r="H40" s="51">
        <f>H38+H37+H32+H31+H39</f>
        <v>1810883.52</v>
      </c>
      <c r="I40" s="52">
        <f t="shared" si="17"/>
        <v>2482339.4320232519</v>
      </c>
      <c r="J40" s="51">
        <f>J38+J37+J32+J31+J39</f>
        <v>702701.97984608449</v>
      </c>
      <c r="K40" s="51">
        <f>K38+K37+K32+K31+K39</f>
        <v>1810883.52</v>
      </c>
      <c r="L40" s="52">
        <f t="shared" si="15"/>
        <v>2513585.4998460845</v>
      </c>
      <c r="M40" s="51">
        <f>M38+M37+M32+M31+M39</f>
        <v>683463.16966640705</v>
      </c>
      <c r="N40" s="51">
        <f>N38+N37+N32+N31+N39</f>
        <v>1810883.52</v>
      </c>
      <c r="O40" s="52">
        <f t="shared" si="16"/>
        <v>2494346.6896664072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41328.2368855409</v>
      </c>
      <c r="E42" s="22">
        <v>0</v>
      </c>
      <c r="F42" s="36">
        <f t="shared" si="13"/>
        <v>41328.2368855409</v>
      </c>
      <c r="G42" s="22">
        <v>77872.497797192802</v>
      </c>
      <c r="H42" s="22">
        <v>0</v>
      </c>
      <c r="I42" s="36">
        <f t="shared" si="17"/>
        <v>77872.497797192802</v>
      </c>
      <c r="J42" s="22">
        <v>77872.497797192802</v>
      </c>
      <c r="K42" s="22">
        <v>0</v>
      </c>
      <c r="L42" s="36">
        <f t="shared" si="15"/>
        <v>77872.497797192802</v>
      </c>
      <c r="M42" s="22">
        <v>77872.497797192802</v>
      </c>
      <c r="N42" s="22">
        <v>0</v>
      </c>
      <c r="O42" s="36">
        <f t="shared" si="16"/>
        <v>77872.497797192802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-295943.38531953795</v>
      </c>
      <c r="E44" s="57">
        <v>-72548.418250000002</v>
      </c>
      <c r="F44" s="36">
        <f t="shared" si="13"/>
        <v>-368491.80356953794</v>
      </c>
      <c r="G44" s="57">
        <v>-341744.56672004424</v>
      </c>
      <c r="H44" s="57">
        <f>-72548.41825-220000</f>
        <v>-292548.41824999999</v>
      </c>
      <c r="I44" s="36">
        <f t="shared" si="17"/>
        <v>-634292.98497004423</v>
      </c>
      <c r="J44" s="57">
        <v>-115889.34874999999</v>
      </c>
      <c r="K44" s="57">
        <f>-66657.83125-110000</f>
        <v>-176657.83124999999</v>
      </c>
      <c r="L44" s="36">
        <f t="shared" si="15"/>
        <v>-292547.18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414828.33092262817</v>
      </c>
      <c r="F45" s="36">
        <f>E45</f>
        <v>414828.33092262817</v>
      </c>
      <c r="G45" s="34"/>
      <c r="H45" s="22">
        <f>G47*0.1</f>
        <v>442588.26649687043</v>
      </c>
      <c r="I45" s="36">
        <f>H45</f>
        <v>442588.26649687043</v>
      </c>
      <c r="J45" s="34"/>
      <c r="K45" s="22">
        <f>J47*0.1</f>
        <v>468298.39507615811</v>
      </c>
      <c r="L45" s="36">
        <f>K45</f>
        <v>468298.39507615811</v>
      </c>
      <c r="M45" s="34"/>
      <c r="N45" s="22">
        <f>M47*0.1</f>
        <v>477963.44893319032</v>
      </c>
      <c r="O45" s="36">
        <f>N45</f>
        <v>477963.44893319032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4148283.3092262815</v>
      </c>
      <c r="E47" s="59">
        <f>E25+E30+E40+E41+E42+E43+E44+E45</f>
        <v>2318649.6327886279</v>
      </c>
      <c r="F47" s="60">
        <f>D47+E47</f>
        <v>6466932.9420149093</v>
      </c>
      <c r="G47" s="59">
        <f>G25+G30+G40+G41+G42+G43+G44+G46</f>
        <v>4425882.6649687039</v>
      </c>
      <c r="H47" s="59">
        <f>H25+H30+H40+H41+H42+H43+H44+H45+H46</f>
        <v>2443848.4842468705</v>
      </c>
      <c r="I47" s="60">
        <f>G47+H47</f>
        <v>6869731.1492155744</v>
      </c>
      <c r="J47" s="59">
        <f>J25+J30+J40+J41+J42+J43+J44+J46</f>
        <v>4682983.9507615808</v>
      </c>
      <c r="K47" s="59">
        <f>K25+K30+K40+K41+K42+K43+K44+K45+K46</f>
        <v>2585449.1998261581</v>
      </c>
      <c r="L47" s="60">
        <f>J47+K47</f>
        <v>7268433.1505877394</v>
      </c>
      <c r="M47" s="59">
        <f>M25+M30+M40+M41+M42+M43+M44+M46</f>
        <v>4779634.4893319029</v>
      </c>
      <c r="N47" s="59">
        <f>N25+N30+N40+N41+N42+N43+N44+N45+N46</f>
        <v>2771772.0849331901</v>
      </c>
      <c r="O47" s="60">
        <f>M47+N47</f>
        <v>7551406.5742650926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12779979</f>
        <v>12779979</v>
      </c>
      <c r="E49" s="65">
        <f>E47+E23</f>
        <v>3145203.0965773039</v>
      </c>
      <c r="F49" s="65">
        <f>F47+F23</f>
        <v>15559021.043690346</v>
      </c>
      <c r="G49" s="65">
        <f>G50</f>
        <v>13009662.863609768</v>
      </c>
      <c r="H49" s="65">
        <v>3434471.9841109766</v>
      </c>
      <c r="I49" s="65">
        <f t="shared" ref="I49" si="21">G49+H49</f>
        <v>16444134.847720746</v>
      </c>
      <c r="J49" s="65">
        <f>J50</f>
        <v>13266764.149402644</v>
      </c>
      <c r="K49" s="65">
        <v>3440362.5711109769</v>
      </c>
      <c r="L49" s="65">
        <f t="shared" ref="L49" si="22">J49+K49</f>
        <v>16707126.720513621</v>
      </c>
      <c r="M49" s="65">
        <f>M50</f>
        <v>13363414.687972967</v>
      </c>
      <c r="N49" s="65">
        <v>3507020.4023609767</v>
      </c>
      <c r="O49" s="65">
        <f t="shared" ref="O49" si="23">M49+N49</f>
        <v>16870435.090333942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>D23+D47</f>
        <v>12413817.947113043</v>
      </c>
      <c r="E50" s="59">
        <f>E49</f>
        <v>3145203.0965773039</v>
      </c>
      <c r="F50" s="59">
        <f>F49</f>
        <v>15559021.043690346</v>
      </c>
      <c r="G50" s="59">
        <f>+G23+G47</f>
        <v>13009662.863609768</v>
      </c>
      <c r="H50" s="59">
        <f t="shared" ref="H50:O50" si="24">+H23+H47</f>
        <v>3302226.5041109771</v>
      </c>
      <c r="I50" s="59">
        <f t="shared" si="24"/>
        <v>16311889.367720746</v>
      </c>
      <c r="J50" s="59">
        <f t="shared" si="24"/>
        <v>13266764.149402644</v>
      </c>
      <c r="K50" s="59">
        <f>+K23+K47</f>
        <v>3443827.2196902647</v>
      </c>
      <c r="L50" s="59">
        <f t="shared" si="24"/>
        <v>16710591.36909291</v>
      </c>
      <c r="M50" s="59">
        <f>+M23+M47</f>
        <v>13363414.687972967</v>
      </c>
      <c r="N50" s="59">
        <f t="shared" si="24"/>
        <v>3630150.1047972967</v>
      </c>
      <c r="O50" s="59">
        <f t="shared" si="24"/>
        <v>16993564.792770263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-295943.38531953795</v>
      </c>
      <c r="E51" s="68">
        <f>E44+E20</f>
        <v>-72548.418250000002</v>
      </c>
      <c r="F51" s="146"/>
      <c r="G51" s="68">
        <f>G44+G20</f>
        <v>-341744.56672004424</v>
      </c>
      <c r="H51" s="68">
        <f>H44+H20</f>
        <v>-292548.41824999999</v>
      </c>
      <c r="I51" s="146"/>
      <c r="J51" s="68">
        <f>J44+J20</f>
        <v>-115889.34874999999</v>
      </c>
      <c r="K51" s="68">
        <f>K44+K20</f>
        <v>-176657.83124999999</v>
      </c>
      <c r="L51" s="146"/>
      <c r="M51" s="68">
        <f>M44+M20</f>
        <v>0</v>
      </c>
      <c r="N51" s="68">
        <f>N44+N20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174">
        <f>D50-D49</f>
        <v>-366161.0528869573</v>
      </c>
      <c r="E52" s="174">
        <f>E50-E49</f>
        <v>0</v>
      </c>
      <c r="F52" s="174">
        <f>F50-F49</f>
        <v>0</v>
      </c>
      <c r="G52" s="174">
        <f t="shared" ref="G52:O52" si="25">G50-G49</f>
        <v>0</v>
      </c>
      <c r="H52" s="174">
        <f t="shared" si="25"/>
        <v>-132245.47999999952</v>
      </c>
      <c r="I52" s="174">
        <f t="shared" si="25"/>
        <v>-132245.48000000045</v>
      </c>
      <c r="J52" s="174">
        <f t="shared" si="25"/>
        <v>0</v>
      </c>
      <c r="K52" s="174">
        <f t="shared" si="25"/>
        <v>3464.6485792878084</v>
      </c>
      <c r="L52" s="174">
        <f t="shared" si="25"/>
        <v>3464.648579288274</v>
      </c>
      <c r="M52" s="174">
        <f t="shared" si="25"/>
        <v>0</v>
      </c>
      <c r="N52" s="174">
        <f t="shared" si="25"/>
        <v>123129.70243632002</v>
      </c>
      <c r="O52" s="174">
        <f t="shared" si="25"/>
        <v>123129.70243632048</v>
      </c>
    </row>
    <row r="53" spans="2:52" s="14" customFormat="1" ht="20" customHeight="1">
      <c r="B53" s="43" t="s">
        <v>47</v>
      </c>
      <c r="C53" s="21"/>
      <c r="D53" s="72"/>
      <c r="E53" s="73"/>
      <c r="F53" s="74">
        <v>0.66529999999999989</v>
      </c>
      <c r="G53" s="72"/>
      <c r="H53" s="73"/>
      <c r="I53" s="74">
        <v>0.66529999999999989</v>
      </c>
      <c r="J53" s="72"/>
      <c r="K53" s="73"/>
      <c r="L53" s="74">
        <v>0.66529999999999989</v>
      </c>
      <c r="M53" s="72"/>
      <c r="N53" s="73"/>
      <c r="O53" s="74">
        <v>0.66529999999999989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28661.516</v>
      </c>
      <c r="G54" s="34"/>
      <c r="H54" s="76"/>
      <c r="I54" s="77">
        <v>28661.516</v>
      </c>
      <c r="J54" s="34"/>
      <c r="K54" s="76"/>
      <c r="L54" s="77">
        <v>28661.516</v>
      </c>
      <c r="M54" s="34"/>
      <c r="N54" s="76"/>
      <c r="O54" s="77">
        <v>28661.516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46.165149669607473</v>
      </c>
      <c r="G55" s="34"/>
      <c r="H55" s="76"/>
      <c r="I55" s="78">
        <v>51.210537742331624</v>
      </c>
      <c r="J55" s="34"/>
      <c r="K55" s="76"/>
      <c r="L55" s="78">
        <v>53.920554639967406</v>
      </c>
      <c r="M55" s="34"/>
      <c r="N55" s="76"/>
      <c r="O55" s="78">
        <v>56.532783598707482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37.376582044052093</v>
      </c>
      <c r="G56" s="81"/>
      <c r="H56" s="82"/>
      <c r="I56" s="78">
        <v>37.376582044052093</v>
      </c>
      <c r="J56" s="81"/>
      <c r="K56" s="82"/>
      <c r="L56" s="78">
        <v>37.376582044052093</v>
      </c>
      <c r="M56" s="81"/>
      <c r="N56" s="82"/>
      <c r="O56" s="78">
        <v>37.376582044052093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-0.4</v>
      </c>
      <c r="G59" s="87"/>
      <c r="H59" s="73"/>
      <c r="I59" s="86">
        <v>-0.4</v>
      </c>
      <c r="J59" s="72"/>
      <c r="K59" s="73"/>
      <c r="L59" s="88">
        <v>-0.4</v>
      </c>
      <c r="M59" s="72"/>
      <c r="N59" s="73"/>
      <c r="O59" s="88">
        <v>-0.4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-0.22144883541256477</v>
      </c>
      <c r="G60" s="90"/>
      <c r="H60" s="76"/>
      <c r="I60" s="89">
        <v>-0.22144883541256477</v>
      </c>
      <c r="J60" s="34"/>
      <c r="K60" s="91"/>
      <c r="L60" s="89">
        <v>-0.22144883541256477</v>
      </c>
      <c r="M60" s="34"/>
      <c r="N60" s="76"/>
      <c r="O60" s="89">
        <v>-0.22144883541256477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-0.62144883541256479</v>
      </c>
      <c r="G61" s="90"/>
      <c r="H61" s="76"/>
      <c r="I61" s="92">
        <v>-0.62144883541256479</v>
      </c>
      <c r="J61" s="34"/>
      <c r="K61" s="76"/>
      <c r="L61" s="93">
        <v>-0.62144883541256479</v>
      </c>
      <c r="M61" s="34"/>
      <c r="N61" s="76"/>
      <c r="O61" s="92">
        <v>-0.62144883541256479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0.37855116458743521</v>
      </c>
      <c r="G62" s="95"/>
      <c r="H62" s="82"/>
      <c r="I62" s="94">
        <v>0.37855116458743521</v>
      </c>
      <c r="J62" s="81"/>
      <c r="K62" s="82"/>
      <c r="L62" s="94">
        <v>0.37855116458743521</v>
      </c>
      <c r="M62" s="81"/>
      <c r="N62" s="82"/>
      <c r="O62" s="94">
        <v>0.37855116458743521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15559021.043690346</v>
      </c>
      <c r="G72" s="34"/>
      <c r="H72" s="76"/>
      <c r="I72" s="108">
        <f>I50</f>
        <v>16311889.367720746</v>
      </c>
      <c r="J72" s="34"/>
      <c r="K72" s="76"/>
      <c r="L72" s="108">
        <f>L50</f>
        <v>16710591.36909291</v>
      </c>
      <c r="M72" s="34"/>
      <c r="N72" s="76"/>
      <c r="O72" s="108">
        <f>O50</f>
        <v>16993564.792770263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10218217.893278167</v>
      </c>
      <c r="G73" s="34"/>
      <c r="H73" s="76"/>
      <c r="I73" s="110">
        <f>F81</f>
        <v>9092088.1016754378</v>
      </c>
      <c r="J73" s="34"/>
      <c r="K73" s="76"/>
      <c r="L73" s="110">
        <f>I81</f>
        <v>9442158.2185051702</v>
      </c>
      <c r="M73" s="34"/>
      <c r="N73" s="76"/>
      <c r="O73" s="110">
        <f>L81</f>
        <v>9442158.2185051702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4459498.5754262516</v>
      </c>
      <c r="G74" s="34"/>
      <c r="H74" s="76"/>
      <c r="I74" s="110">
        <f>F82</f>
        <v>6466932.9420149084</v>
      </c>
      <c r="J74" s="34"/>
      <c r="K74" s="76"/>
      <c r="L74" s="110">
        <f>I82</f>
        <v>6869731.1492155753</v>
      </c>
      <c r="M74" s="34"/>
      <c r="N74" s="76"/>
      <c r="O74" s="110">
        <f>L82</f>
        <v>7268433.1505877394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14677716.468704417</v>
      </c>
      <c r="G75" s="34"/>
      <c r="H75" s="76"/>
      <c r="I75" s="111">
        <f>SUM(I73:I74)</f>
        <v>15559021.043690346</v>
      </c>
      <c r="J75" s="34"/>
      <c r="K75" s="76"/>
      <c r="L75" s="111">
        <f>SUM(L73:L74)</f>
        <v>16311889.367720746</v>
      </c>
      <c r="M75" s="34"/>
      <c r="N75" s="76"/>
      <c r="O75" s="111">
        <f>SUM(O73:O74)</f>
        <v>16710591.36909291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1.0600437116267392</v>
      </c>
      <c r="G76" s="81"/>
      <c r="H76" s="82"/>
      <c r="I76" s="112">
        <f>I72/I75</f>
        <v>1.0483878980506753</v>
      </c>
      <c r="J76" s="81"/>
      <c r="K76" s="82"/>
      <c r="L76" s="112">
        <f>L72/L75</f>
        <v>1.0244424169625099</v>
      </c>
      <c r="M76" s="81"/>
      <c r="N76" s="82"/>
      <c r="O76" s="112">
        <f>O72/O75</f>
        <v>1.016933776754348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15559021.043690346</v>
      </c>
      <c r="G78" s="73"/>
      <c r="H78" s="73"/>
      <c r="I78" s="115">
        <f>IF(I72&lt;=I75*I71,I72,I75*I71)</f>
        <v>16311889.367720746</v>
      </c>
      <c r="J78" s="73"/>
      <c r="K78" s="73"/>
      <c r="L78" s="115">
        <f>IF(L72&lt;=L75*L71,L72,L75*L71)</f>
        <v>16710591.36909291</v>
      </c>
      <c r="M78" s="73"/>
      <c r="N78" s="73"/>
      <c r="O78" s="115">
        <f>IF(O72&lt;=O75*O71,O72,O75*O71)</f>
        <v>16993564.792770263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8265534.6378867617</v>
      </c>
      <c r="E81" s="120">
        <f>E23</f>
        <v>826553.46378867619</v>
      </c>
      <c r="F81" s="115">
        <f>D81+E81</f>
        <v>9092088.1016754378</v>
      </c>
      <c r="G81" s="119">
        <f>G23-I79</f>
        <v>8583780.1986410636</v>
      </c>
      <c r="H81" s="120">
        <f>H23</f>
        <v>858378.01986410643</v>
      </c>
      <c r="I81" s="115">
        <f>G81+H81</f>
        <v>9442158.2185051702</v>
      </c>
      <c r="J81" s="119">
        <f>J23-L79</f>
        <v>8583780.1986410636</v>
      </c>
      <c r="K81" s="120">
        <f>K23</f>
        <v>858378.01986410643</v>
      </c>
      <c r="L81" s="115">
        <f>J81+K81</f>
        <v>9442158.2185051702</v>
      </c>
      <c r="M81" s="119">
        <f>M23-O79</f>
        <v>8583780.1986410636</v>
      </c>
      <c r="N81" s="120">
        <f>N23</f>
        <v>858378.01986410643</v>
      </c>
      <c r="O81" s="115">
        <f>M81+N81</f>
        <v>9442158.2185051702</v>
      </c>
    </row>
    <row r="82" spans="1:52" s="14" customFormat="1" ht="20" customHeight="1" thickBot="1">
      <c r="B82" s="118" t="s">
        <v>72</v>
      </c>
      <c r="D82" s="121">
        <f>D50-D81-F79</f>
        <v>4148283.309226281</v>
      </c>
      <c r="E82" s="122">
        <f>E50-E81</f>
        <v>2318649.6327886279</v>
      </c>
      <c r="F82" s="123">
        <f>D82+E82</f>
        <v>6466932.9420149084</v>
      </c>
      <c r="G82" s="121">
        <f>G49-G81-I79</f>
        <v>4425882.6649687048</v>
      </c>
      <c r="H82" s="122">
        <f>H50-H81</f>
        <v>2443848.4842468705</v>
      </c>
      <c r="I82" s="123">
        <f>G82+H82</f>
        <v>6869731.1492155753</v>
      </c>
      <c r="J82" s="121">
        <f>J50-J81-L79</f>
        <v>4682983.9507615808</v>
      </c>
      <c r="K82" s="122">
        <f>K50-K81</f>
        <v>2585449.1998261581</v>
      </c>
      <c r="L82" s="123">
        <f>J82+K82</f>
        <v>7268433.1505877394</v>
      </c>
      <c r="M82" s="121">
        <f>M49-M81-O79</f>
        <v>4779634.4893319029</v>
      </c>
      <c r="N82" s="122">
        <f>N50-N81</f>
        <v>2771772.0849331901</v>
      </c>
      <c r="O82" s="123">
        <f>M82+N82</f>
        <v>7551406.5742650926</v>
      </c>
    </row>
    <row r="83" spans="1:52" s="124" customFormat="1" ht="17.25" customHeight="1" thickBot="1">
      <c r="B83" s="125" t="s">
        <v>73</v>
      </c>
      <c r="C83" s="14"/>
      <c r="D83" s="126">
        <f>SUM(D81:D82)</f>
        <v>12413817.947113043</v>
      </c>
      <c r="E83" s="127">
        <f t="shared" ref="E83:O83" si="26">SUM(E81:E82)</f>
        <v>3145203.0965773039</v>
      </c>
      <c r="F83" s="128">
        <f t="shared" si="26"/>
        <v>15559021.043690346</v>
      </c>
      <c r="G83" s="126">
        <f t="shared" si="26"/>
        <v>13009662.863609768</v>
      </c>
      <c r="H83" s="127">
        <f t="shared" si="26"/>
        <v>3302226.5041109771</v>
      </c>
      <c r="I83" s="128">
        <f t="shared" si="26"/>
        <v>16311889.367720746</v>
      </c>
      <c r="J83" s="126">
        <f t="shared" si="26"/>
        <v>13266764.149402644</v>
      </c>
      <c r="K83" s="127">
        <f t="shared" si="26"/>
        <v>3443827.2196902647</v>
      </c>
      <c r="L83" s="128">
        <f t="shared" si="26"/>
        <v>16710591.36909291</v>
      </c>
      <c r="M83" s="126">
        <f t="shared" si="26"/>
        <v>13363414.687972967</v>
      </c>
      <c r="N83" s="127">
        <f t="shared" si="26"/>
        <v>3630150.1047972967</v>
      </c>
      <c r="O83" s="128">
        <f t="shared" si="26"/>
        <v>16993564.792770263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9092088.1016754378</v>
      </c>
      <c r="G88" s="72"/>
      <c r="H88" s="73"/>
      <c r="I88" s="136">
        <f>I81-I85</f>
        <v>9442158.2185051702</v>
      </c>
      <c r="J88" s="72"/>
      <c r="K88" s="73"/>
      <c r="L88" s="136">
        <f>L81-L85</f>
        <v>9442158.2185051702</v>
      </c>
      <c r="M88" s="72"/>
      <c r="N88" s="73"/>
      <c r="O88" s="136">
        <f>O81-O85</f>
        <v>9442158.2185051702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6466932.9420149084</v>
      </c>
      <c r="G89" s="34"/>
      <c r="H89" s="76"/>
      <c r="I89" s="138">
        <f>I82-I86</f>
        <v>6869731.1492155753</v>
      </c>
      <c r="J89" s="34"/>
      <c r="K89" s="76"/>
      <c r="L89" s="138">
        <f>L82-L86</f>
        <v>7268433.1505877394</v>
      </c>
      <c r="M89" s="34"/>
      <c r="N89" s="76"/>
      <c r="O89" s="138">
        <f>O82-O86</f>
        <v>7551406.5742650926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15559021.043690346</v>
      </c>
      <c r="G90" s="81"/>
      <c r="H90" s="82"/>
      <c r="I90" s="139">
        <f>+I88+I89</f>
        <v>16311889.367720746</v>
      </c>
      <c r="J90" s="81"/>
      <c r="K90" s="82"/>
      <c r="L90" s="139">
        <f>+L88+L89</f>
        <v>16710591.36909291</v>
      </c>
      <c r="M90" s="81"/>
      <c r="N90" s="82"/>
      <c r="O90" s="139">
        <f>+O88+O89</f>
        <v>16993564.792770263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-4969.4536983287544</v>
      </c>
      <c r="E92" s="143">
        <v>0</v>
      </c>
      <c r="F92" s="144">
        <f>D92+E92</f>
        <v>-4969.4536983287544</v>
      </c>
      <c r="G92" s="142">
        <v>-235581.27081507031</v>
      </c>
      <c r="H92" s="143">
        <v>0</v>
      </c>
      <c r="I92" s="144">
        <f>G92+H92</f>
        <v>-235581.27081507031</v>
      </c>
      <c r="J92" s="142">
        <v>-235581.27081507031</v>
      </c>
      <c r="K92" s="143">
        <v>0</v>
      </c>
      <c r="L92" s="144">
        <f>J92+K92</f>
        <v>-235581.27081507031</v>
      </c>
      <c r="M92" s="142">
        <v>-235581.27081507031</v>
      </c>
      <c r="N92" s="143">
        <v>0</v>
      </c>
      <c r="O92" s="144">
        <f>M92+N92</f>
        <v>-235581.27081507031</v>
      </c>
    </row>
    <row r="93" spans="1:52" s="14" customFormat="1" ht="14">
      <c r="D93" s="145"/>
    </row>
    <row r="94" spans="1:52" s="14" customFormat="1" ht="14">
      <c r="F94" s="165"/>
    </row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13019400.567748396</v>
      </c>
      <c r="E96" s="166">
        <f>E6+E7+E8+E9+E11+E25+E30+E40+E42+E21+E45</f>
        <v>3217751.5148273041</v>
      </c>
      <c r="F96" s="166">
        <f t="shared" ref="F96" si="27">F6+F7+F8+F9+F11+F25+F30+F40+F42</f>
        <v>14995770.287864394</v>
      </c>
      <c r="G96" s="166">
        <f t="shared" ref="G96" si="28">G6+G7+G8+G9+G11+G25+G30+G40+G42+G21+G45</f>
        <v>13660737.335740218</v>
      </c>
      <c r="H96" s="166">
        <f t="shared" ref="H96" si="29">H6+H7+H8+H9+H11+H25+H30+H40+H42</f>
        <v>2293808.6359999999</v>
      </c>
      <c r="I96" s="166">
        <f t="shared" ref="I96" si="30">I6+I7+I8+I9+I11+I25+I30+I40+I42+I21+I45</f>
        <v>17255512.258101191</v>
      </c>
      <c r="J96" s="166">
        <f t="shared" ref="J96" si="31">J6+J7+J8+J9+J11+J25+J30+J40+J42</f>
        <v>13691983.403563051</v>
      </c>
      <c r="K96" s="166">
        <f t="shared" ref="K96" si="32">K6+K7+K8+K9+K11+K25+K30+K40+K42+K21+K45</f>
        <v>3620485.0509402645</v>
      </c>
      <c r="L96" s="166">
        <f t="shared" ref="L96" si="33">L6+L7+L8+L9+L11+L25+L30+L40+L42</f>
        <v>15985792.039563049</v>
      </c>
      <c r="M96" s="166">
        <f t="shared" ref="M96" si="34">M6+M7+M8+M9+M11+M25+M30+M40+M42+M21+M45</f>
        <v>13672744.593383374</v>
      </c>
      <c r="N96" s="166">
        <f t="shared" ref="N96" si="35">N6+N7+N8+N9+N11+N25+N30+N40+N42</f>
        <v>2293808.6359999999</v>
      </c>
      <c r="O96" s="166">
        <f t="shared" ref="O96" si="36">O6+O7+O8+O9+O11+O25+O30+O40+O42+O21+O45</f>
        <v>17302894.698180668</v>
      </c>
    </row>
    <row r="97" spans="4:15" s="14" customFormat="1">
      <c r="D97" s="166">
        <f>D96-D15-D19</f>
        <v>12709761.332432581</v>
      </c>
      <c r="E97" s="166">
        <f>E96-E15-E19</f>
        <v>3217751.5148273041</v>
      </c>
      <c r="F97" s="166">
        <f t="shared" ref="F97:O97" si="37">F96-F15-F19</f>
        <v>14686131.05254858</v>
      </c>
      <c r="G97" s="166">
        <f t="shared" si="37"/>
        <v>13351407.430329813</v>
      </c>
      <c r="H97" s="166">
        <f t="shared" si="37"/>
        <v>2293808.6359999999</v>
      </c>
      <c r="I97" s="166">
        <f t="shared" si="37"/>
        <v>16946182.352690786</v>
      </c>
      <c r="J97" s="166">
        <f t="shared" si="37"/>
        <v>13382653.498152645</v>
      </c>
      <c r="K97" s="166">
        <f t="shared" si="37"/>
        <v>3620485.0509402645</v>
      </c>
      <c r="L97" s="166">
        <f t="shared" si="37"/>
        <v>15676462.134152643</v>
      </c>
      <c r="M97" s="166">
        <f t="shared" si="37"/>
        <v>13363414.687972968</v>
      </c>
      <c r="N97" s="166">
        <f t="shared" si="37"/>
        <v>2293808.6359999999</v>
      </c>
      <c r="O97" s="166">
        <f t="shared" si="37"/>
        <v>16993564.792770263</v>
      </c>
    </row>
    <row r="98" spans="4:15" s="14" customFormat="1">
      <c r="D98" s="166">
        <f>D20+D44</f>
        <v>-295943.38531953795</v>
      </c>
      <c r="E98" s="166">
        <f>E20+E44</f>
        <v>-72548.418250000002</v>
      </c>
      <c r="F98" s="166">
        <f t="shared" ref="F98:O98" si="38">F20+F44</f>
        <v>-368491.80356953794</v>
      </c>
      <c r="G98" s="166">
        <f t="shared" si="38"/>
        <v>-341744.56672004424</v>
      </c>
      <c r="H98" s="166">
        <f t="shared" si="38"/>
        <v>-292548.41824999999</v>
      </c>
      <c r="I98" s="166">
        <f t="shared" si="38"/>
        <v>-634292.98497004423</v>
      </c>
      <c r="J98" s="166">
        <f t="shared" si="38"/>
        <v>-115889.34874999999</v>
      </c>
      <c r="K98" s="166">
        <f t="shared" si="38"/>
        <v>-176657.83124999999</v>
      </c>
      <c r="L98" s="166">
        <f t="shared" si="38"/>
        <v>-292547.18</v>
      </c>
      <c r="M98" s="166">
        <f t="shared" si="38"/>
        <v>0</v>
      </c>
      <c r="N98" s="166">
        <f t="shared" si="38"/>
        <v>0</v>
      </c>
      <c r="O98" s="166">
        <f t="shared" si="38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208" priority="7" operator="containsText" text="ERRORE">
      <formula>NOT(ISERROR(SEARCH("ERRORE",F81)))</formula>
    </cfRule>
  </conditionalFormatting>
  <conditionalFormatting sqref="I83">
    <cfRule type="containsText" dxfId="207" priority="6" operator="containsText" text="ERRORE">
      <formula>NOT(ISERROR(SEARCH("ERRORE",I83)))</formula>
    </cfRule>
  </conditionalFormatting>
  <conditionalFormatting sqref="I81:I82">
    <cfRule type="containsText" dxfId="206" priority="5" operator="containsText" text="ERRORE">
      <formula>NOT(ISERROR(SEARCH("ERRORE",I81)))</formula>
    </cfRule>
  </conditionalFormatting>
  <conditionalFormatting sqref="L83">
    <cfRule type="containsText" dxfId="205" priority="4" operator="containsText" text="ERRORE">
      <formula>NOT(ISERROR(SEARCH("ERRORE",L83)))</formula>
    </cfRule>
  </conditionalFormatting>
  <conditionalFormatting sqref="L81:L82">
    <cfRule type="containsText" dxfId="204" priority="3" operator="containsText" text="ERRORE">
      <formula>NOT(ISERROR(SEARCH("ERRORE",L81)))</formula>
    </cfRule>
  </conditionalFormatting>
  <conditionalFormatting sqref="O83">
    <cfRule type="containsText" dxfId="203" priority="2" operator="containsText" text="ERRORE">
      <formula>NOT(ISERROR(SEARCH("ERRORE",O83)))</formula>
    </cfRule>
  </conditionalFormatting>
  <conditionalFormatting sqref="O81:O82">
    <cfRule type="containsText" dxfId="202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E9" zoomScale="70" zoomScaleNormal="70" zoomScalePageLayoutView="70" workbookViewId="0">
      <selection activeCell="K21" sqref="K21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89</v>
      </c>
      <c r="B1" s="2" t="str">
        <f>"       PEF 2022 - 2025"&amp;" - "&amp;A1</f>
        <v xml:space="preserve">       PEF 2022 - 2025 - Cona</v>
      </c>
      <c r="D1" s="3"/>
      <c r="E1" s="3"/>
      <c r="F1" s="4"/>
      <c r="G1" s="3"/>
      <c r="H1" s="3"/>
      <c r="I1" s="4"/>
      <c r="J1" s="3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132</v>
      </c>
      <c r="E4" s="188"/>
      <c r="F4" s="189"/>
      <c r="G4" s="187" t="str">
        <f>D4</f>
        <v>Ambito tariffario: Cona</v>
      </c>
      <c r="H4" s="188"/>
      <c r="I4" s="189"/>
      <c r="J4" s="187" t="str">
        <f>D4</f>
        <v>Ambito tariffario: Cona</v>
      </c>
      <c r="K4" s="188"/>
      <c r="L4" s="189"/>
      <c r="M4" s="187" t="str">
        <f>D4</f>
        <v>Ambito tariffario: Cona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38017.025636886974</v>
      </c>
      <c r="E6" s="22">
        <v>0</v>
      </c>
      <c r="F6" s="23">
        <f>D6+E6</f>
        <v>38017.025636886974</v>
      </c>
      <c r="G6" s="22">
        <v>39326.856660118225</v>
      </c>
      <c r="H6" s="22">
        <v>0</v>
      </c>
      <c r="I6" s="23">
        <f>G6+H6</f>
        <v>39326.856660118225</v>
      </c>
      <c r="J6" s="22">
        <v>39326.856660118225</v>
      </c>
      <c r="K6" s="22">
        <v>0</v>
      </c>
      <c r="L6" s="23">
        <f>J6+K6</f>
        <v>39326.856660118225</v>
      </c>
      <c r="M6" s="22">
        <v>39326.856660118225</v>
      </c>
      <c r="N6" s="22">
        <v>0</v>
      </c>
      <c r="O6" s="23">
        <f>M6+N6</f>
        <v>39326.856660118225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35972.857806823173</v>
      </c>
      <c r="E7" s="22">
        <v>0</v>
      </c>
      <c r="F7" s="23">
        <f t="shared" ref="F7:F20" si="0">D7+E7</f>
        <v>35972.857806823173</v>
      </c>
      <c r="G7" s="22">
        <v>37655.721780247266</v>
      </c>
      <c r="H7" s="22">
        <v>0</v>
      </c>
      <c r="I7" s="23">
        <f t="shared" ref="I7:I13" si="1">G7+H7</f>
        <v>37655.721780247266</v>
      </c>
      <c r="J7" s="22">
        <v>37655.721780247266</v>
      </c>
      <c r="K7" s="22">
        <v>0</v>
      </c>
      <c r="L7" s="23">
        <f t="shared" ref="L7:L12" si="2">J7+K7</f>
        <v>37655.721780247266</v>
      </c>
      <c r="M7" s="22">
        <v>37655.721780247266</v>
      </c>
      <c r="N7" s="22">
        <v>0</v>
      </c>
      <c r="O7" s="23">
        <f t="shared" ref="O7:O13" si="3">M7+N7</f>
        <v>37655.721780247266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55532.687629874243</v>
      </c>
      <c r="E8" s="22">
        <v>0</v>
      </c>
      <c r="F8" s="23">
        <f t="shared" si="0"/>
        <v>55532.687629874243</v>
      </c>
      <c r="G8" s="22">
        <v>58131.951542781957</v>
      </c>
      <c r="H8" s="22">
        <v>0</v>
      </c>
      <c r="I8" s="23">
        <f t="shared" si="1"/>
        <v>58131.951542781957</v>
      </c>
      <c r="J8" s="22">
        <v>58131.951542781957</v>
      </c>
      <c r="K8" s="22">
        <v>0</v>
      </c>
      <c r="L8" s="23">
        <f t="shared" si="2"/>
        <v>58131.951542781957</v>
      </c>
      <c r="M8" s="22">
        <v>58131.951542781957</v>
      </c>
      <c r="N8" s="22">
        <v>0</v>
      </c>
      <c r="O8" s="23">
        <f t="shared" si="3"/>
        <v>58131.951542781957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86203.665877927779</v>
      </c>
      <c r="E9" s="22">
        <v>0</v>
      </c>
      <c r="F9" s="23">
        <f t="shared" si="0"/>
        <v>86203.665877927779</v>
      </c>
      <c r="G9" s="22">
        <v>88638.384915372313</v>
      </c>
      <c r="H9" s="22">
        <v>0</v>
      </c>
      <c r="I9" s="23">
        <f t="shared" si="1"/>
        <v>88638.384915372313</v>
      </c>
      <c r="J9" s="22">
        <v>88638.384915372313</v>
      </c>
      <c r="K9" s="22">
        <v>0</v>
      </c>
      <c r="L9" s="23">
        <f t="shared" si="2"/>
        <v>88638.384915372313</v>
      </c>
      <c r="M9" s="22">
        <v>88638.384915372313</v>
      </c>
      <c r="N9" s="22">
        <v>0</v>
      </c>
      <c r="O9" s="23">
        <f t="shared" si="3"/>
        <v>88638.384915372313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1065.7243202323184</v>
      </c>
      <c r="E11" s="22">
        <v>0</v>
      </c>
      <c r="F11" s="23">
        <f t="shared" si="0"/>
        <v>1065.7243202323184</v>
      </c>
      <c r="G11" s="22">
        <v>1065.7243202323184</v>
      </c>
      <c r="H11" s="22">
        <v>0</v>
      </c>
      <c r="I11" s="23">
        <f t="shared" si="1"/>
        <v>1065.7243202323184</v>
      </c>
      <c r="J11" s="22">
        <v>1065.7243202323184</v>
      </c>
      <c r="K11" s="22">
        <v>0</v>
      </c>
      <c r="L11" s="23">
        <f t="shared" si="2"/>
        <v>1065.7243202323184</v>
      </c>
      <c r="M11" s="22">
        <v>1065.7243202323184</v>
      </c>
      <c r="N11" s="22">
        <v>0</v>
      </c>
      <c r="O11" s="23">
        <f t="shared" si="3"/>
        <v>1065.7243202323184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25602.255921950553</v>
      </c>
      <c r="E13" s="22">
        <v>0</v>
      </c>
      <c r="F13" s="23">
        <f t="shared" si="0"/>
        <v>25602.255921950553</v>
      </c>
      <c r="G13" s="22">
        <v>25576.679242707847</v>
      </c>
      <c r="H13" s="22">
        <v>0</v>
      </c>
      <c r="I13" s="23">
        <f t="shared" si="1"/>
        <v>25576.679242707847</v>
      </c>
      <c r="J13" s="22">
        <v>25576.679242707847</v>
      </c>
      <c r="K13" s="22">
        <v>0</v>
      </c>
      <c r="L13" s="23">
        <f>J13+K13</f>
        <v>25576.679242707847</v>
      </c>
      <c r="M13" s="22">
        <v>25576.679242707847</v>
      </c>
      <c r="N13" s="22">
        <v>0</v>
      </c>
      <c r="O13" s="23">
        <f t="shared" si="3"/>
        <v>25576.679242707847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15361.353553170331</v>
      </c>
      <c r="E15" s="22">
        <v>0</v>
      </c>
      <c r="F15" s="23">
        <f t="shared" si="0"/>
        <v>15361.353553170331</v>
      </c>
      <c r="G15" s="22">
        <v>15346.007545624707</v>
      </c>
      <c r="H15" s="22">
        <v>0</v>
      </c>
      <c r="I15" s="23">
        <f t="shared" ref="I15:I16" si="4">G15+H15</f>
        <v>15346.007545624707</v>
      </c>
      <c r="J15" s="22">
        <v>15346.007545624707</v>
      </c>
      <c r="K15" s="22">
        <v>0</v>
      </c>
      <c r="L15" s="23">
        <f t="shared" ref="L15:L16" si="5">J15+K15</f>
        <v>15346.007545624707</v>
      </c>
      <c r="M15" s="22">
        <v>15346.007545624707</v>
      </c>
      <c r="N15" s="22">
        <v>0</v>
      </c>
      <c r="O15" s="23">
        <f t="shared" ref="O15:O16" si="6">M15+N15</f>
        <v>15346.007545624707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254.72237995893275</v>
      </c>
      <c r="E16" s="22">
        <v>0</v>
      </c>
      <c r="F16" s="23">
        <f t="shared" si="0"/>
        <v>254.72237995893275</v>
      </c>
      <c r="G16" s="22">
        <v>254.46791204688589</v>
      </c>
      <c r="H16" s="22">
        <v>0</v>
      </c>
      <c r="I16" s="23">
        <f t="shared" si="4"/>
        <v>254.46791204688589</v>
      </c>
      <c r="J16" s="22">
        <v>254.46791204688589</v>
      </c>
      <c r="K16" s="22">
        <v>0</v>
      </c>
      <c r="L16" s="23">
        <f t="shared" si="5"/>
        <v>254.46791204688589</v>
      </c>
      <c r="M16" s="22">
        <v>254.46791204688589</v>
      </c>
      <c r="N16" s="22">
        <v>0</v>
      </c>
      <c r="O16" s="23">
        <f t="shared" si="6"/>
        <v>254.46791204688589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168.11677077289562</v>
      </c>
      <c r="E19" s="22">
        <v>0</v>
      </c>
      <c r="F19" s="23">
        <f t="shared" si="0"/>
        <v>168.11677077289562</v>
      </c>
      <c r="G19" s="22">
        <v>167.9488219509447</v>
      </c>
      <c r="H19" s="22">
        <v>0</v>
      </c>
      <c r="I19" s="23">
        <f t="shared" ref="I19:I20" si="7">G19+H19</f>
        <v>167.9488219509447</v>
      </c>
      <c r="J19" s="22">
        <v>167.9488219509447</v>
      </c>
      <c r="K19" s="22">
        <v>0</v>
      </c>
      <c r="L19" s="23">
        <f t="shared" ref="L19:L20" si="8">J19+K19</f>
        <v>167.9488219509447</v>
      </c>
      <c r="M19" s="32">
        <v>167.9488219509447</v>
      </c>
      <c r="N19" s="33">
        <v>0</v>
      </c>
      <c r="O19" s="23">
        <f t="shared" ref="O19:O20" si="9">M19+N19</f>
        <v>167.9488219509447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-11787.750868406278</v>
      </c>
      <c r="E20" s="22">
        <v>0</v>
      </c>
      <c r="F20" s="23">
        <f t="shared" si="0"/>
        <v>-11787.750868406278</v>
      </c>
      <c r="G20" s="22">
        <v>0</v>
      </c>
      <c r="H20" s="22">
        <v>0</v>
      </c>
      <c r="I20" s="23">
        <f t="shared" si="7"/>
        <v>0</v>
      </c>
      <c r="J20" s="22">
        <v>6519.6107499999998</v>
      </c>
      <c r="K20" s="22">
        <v>0</v>
      </c>
      <c r="L20" s="23">
        <f t="shared" si="8"/>
        <v>6519.6107499999998</v>
      </c>
      <c r="M20" s="22">
        <v>27500</v>
      </c>
      <c r="N20" s="22">
        <v>0</v>
      </c>
      <c r="O20" s="23">
        <f t="shared" si="9"/>
        <v>27500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18947.474007939494</v>
      </c>
      <c r="F21" s="23">
        <f>E21</f>
        <v>18947.474007939494</v>
      </c>
      <c r="G21" s="34"/>
      <c r="H21" s="22">
        <f>G23*0.1</f>
        <v>20930.468285117644</v>
      </c>
      <c r="I21" s="23">
        <f>H21</f>
        <v>20930.468285117644</v>
      </c>
      <c r="J21" s="34"/>
      <c r="K21" s="22">
        <f>J23*0.1</f>
        <v>21582.429360117643</v>
      </c>
      <c r="L21" s="23">
        <f>K21</f>
        <v>21582.429360117643</v>
      </c>
      <c r="M21" s="34"/>
      <c r="N21" s="22">
        <v>48433.572196052788</v>
      </c>
      <c r="O21" s="23">
        <f>N21</f>
        <v>48433.572196052788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189474.74007939495</v>
      </c>
      <c r="E23" s="38">
        <f>E6+E7+E8+E9+E10+E11+E12-E15-E19+E20+E21</f>
        <v>18947.474007939494</v>
      </c>
      <c r="F23" s="38">
        <f>D23+E23</f>
        <v>208422.21408733443</v>
      </c>
      <c r="G23" s="38">
        <f>G6+G7+G8+G9+G10+G11+G12-G15-G19+G20+G22</f>
        <v>209304.68285117642</v>
      </c>
      <c r="H23" s="38">
        <f>H6+H7+H8+H9+H10+H11+H12-H15-H19+H20+H21+H22</f>
        <v>20930.468285117644</v>
      </c>
      <c r="I23" s="38">
        <f>G23+H23</f>
        <v>230235.15113629407</v>
      </c>
      <c r="J23" s="38">
        <f>J6+J7+J8+J9+J10+J11+J12-J15-J19+J20+J22</f>
        <v>215824.29360117641</v>
      </c>
      <c r="K23" s="38">
        <f>K6+K7+K8+K9+K10+K11+K12-K15-K19+K20+K21+K22</f>
        <v>21582.429360117643</v>
      </c>
      <c r="L23" s="38">
        <f>J23+K23</f>
        <v>237406.72296129406</v>
      </c>
      <c r="M23" s="38">
        <f>M6+M7+M8+M9+M10+M11+M12-M15-M19+M20+M22</f>
        <v>236804.68285117642</v>
      </c>
      <c r="N23" s="38">
        <f>N6+N7+N8+N9+N10+N11+N12-N15-N19+N20+N21+N22</f>
        <v>48433.572196052788</v>
      </c>
      <c r="O23" s="38">
        <f>M23+N23</f>
        <v>285238.25504722924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45089.667748070948</v>
      </c>
      <c r="E25" s="44">
        <v>0</v>
      </c>
      <c r="F25" s="45">
        <f t="shared" ref="F25:F44" si="13">D25+E25</f>
        <v>45089.667748070948</v>
      </c>
      <c r="G25" s="44">
        <v>47130.290954759083</v>
      </c>
      <c r="H25" s="44">
        <v>0</v>
      </c>
      <c r="I25" s="45">
        <f t="shared" ref="I25:I33" si="14">G25+H25</f>
        <v>47130.290954759083</v>
      </c>
      <c r="J25" s="44">
        <v>47130.290954759083</v>
      </c>
      <c r="K25" s="44">
        <v>0</v>
      </c>
      <c r="L25" s="45">
        <f t="shared" ref="L25:L44" si="15">J25+K25</f>
        <v>47130.290954759083</v>
      </c>
      <c r="M25" s="44">
        <v>47130.290954759083</v>
      </c>
      <c r="N25" s="44">
        <v>0</v>
      </c>
      <c r="O25" s="45">
        <f t="shared" ref="O25:O43" si="16">M25+N25</f>
        <v>47130.290954759083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430.03003572854942</v>
      </c>
      <c r="E26" s="22">
        <v>0</v>
      </c>
      <c r="F26" s="36">
        <f t="shared" si="13"/>
        <v>430.03003572854942</v>
      </c>
      <c r="G26" s="22">
        <v>442.62742488959759</v>
      </c>
      <c r="H26" s="22">
        <v>0</v>
      </c>
      <c r="I26" s="36">
        <f t="shared" si="14"/>
        <v>442.62742488959759</v>
      </c>
      <c r="J26" s="22">
        <v>442.62742488959759</v>
      </c>
      <c r="K26" s="22">
        <v>0</v>
      </c>
      <c r="L26" s="36">
        <f t="shared" si="15"/>
        <v>442.62742488959759</v>
      </c>
      <c r="M26" s="22">
        <v>442.62742488959759</v>
      </c>
      <c r="N26" s="22">
        <v>0</v>
      </c>
      <c r="O26" s="36">
        <f t="shared" si="16"/>
        <v>442.62742488959759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39677.306764152396</v>
      </c>
      <c r="E27" s="47">
        <v>0</v>
      </c>
      <c r="F27" s="48">
        <f t="shared" si="13"/>
        <v>39677.306764152396</v>
      </c>
      <c r="G27" s="47">
        <v>41205.136459993089</v>
      </c>
      <c r="H27" s="47">
        <v>0</v>
      </c>
      <c r="I27" s="48">
        <f t="shared" si="14"/>
        <v>41205.136459993089</v>
      </c>
      <c r="J27" s="47">
        <v>41205.136459993089</v>
      </c>
      <c r="K27" s="47">
        <v>0</v>
      </c>
      <c r="L27" s="48">
        <f t="shared" si="15"/>
        <v>41205.136459993089</v>
      </c>
      <c r="M27" s="47">
        <v>41205.136459993089</v>
      </c>
      <c r="N27" s="47">
        <v>0</v>
      </c>
      <c r="O27" s="48">
        <f t="shared" si="16"/>
        <v>41205.136459993089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1093.4727199918784</v>
      </c>
      <c r="E29" s="47">
        <v>0</v>
      </c>
      <c r="F29" s="48">
        <f t="shared" si="13"/>
        <v>1093.4727199918784</v>
      </c>
      <c r="G29" s="47">
        <v>1101.3284011346684</v>
      </c>
      <c r="H29" s="47">
        <v>0</v>
      </c>
      <c r="I29" s="48">
        <f t="shared" si="14"/>
        <v>1101.3284011346684</v>
      </c>
      <c r="J29" s="47">
        <v>1101.3284011346684</v>
      </c>
      <c r="K29" s="47">
        <v>0</v>
      </c>
      <c r="L29" s="48">
        <f t="shared" si="15"/>
        <v>1101.3284011346684</v>
      </c>
      <c r="M29" s="47">
        <v>1101.3284011346684</v>
      </c>
      <c r="N29" s="47">
        <v>0</v>
      </c>
      <c r="O29" s="48">
        <f t="shared" si="16"/>
        <v>1101.3284011346684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41200.809519872826</v>
      </c>
      <c r="E30" s="51">
        <f>+E26+E27+E28+E29</f>
        <v>0</v>
      </c>
      <c r="F30" s="52">
        <f t="shared" si="13"/>
        <v>41200.809519872826</v>
      </c>
      <c r="G30" s="51">
        <f>+G26+G27+G28+G29</f>
        <v>42749.09228601736</v>
      </c>
      <c r="H30" s="51">
        <f>+H26+H27+H28+H29</f>
        <v>0</v>
      </c>
      <c r="I30" s="52">
        <f t="shared" si="14"/>
        <v>42749.09228601736</v>
      </c>
      <c r="J30" s="51">
        <f>+J26+J27+J28+J29</f>
        <v>42749.09228601736</v>
      </c>
      <c r="K30" s="51">
        <f>+K26+K27+K28+K29</f>
        <v>0</v>
      </c>
      <c r="L30" s="52">
        <f t="shared" si="15"/>
        <v>42749.09228601736</v>
      </c>
      <c r="M30" s="51">
        <f>+M26+M27+M28+M29</f>
        <v>42749.09228601736</v>
      </c>
      <c r="N30" s="51">
        <f>+N26+N27+N28+N29</f>
        <v>0</v>
      </c>
      <c r="O30" s="52">
        <f t="shared" si="16"/>
        <v>42749.09228601736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83668.742503834073</v>
      </c>
      <c r="E31" s="53">
        <v>0</v>
      </c>
      <c r="F31" s="48">
        <f t="shared" si="13"/>
        <v>83668.742503834073</v>
      </c>
      <c r="G31" s="147">
        <f>VLOOKUP($A$1,REM_ToolEnrico!$B$5:$J$38,4,FALSE)</f>
        <v>83316.36293197432</v>
      </c>
      <c r="H31" s="53">
        <v>0</v>
      </c>
      <c r="I31" s="48">
        <f t="shared" si="14"/>
        <v>83316.36293197432</v>
      </c>
      <c r="J31" s="147">
        <f>VLOOKUP($A$1,REM_ToolEnrico!$B$5:$J$38,6,FALSE)</f>
        <v>84425.153791737204</v>
      </c>
      <c r="K31" s="53">
        <v>0</v>
      </c>
      <c r="L31" s="48">
        <f t="shared" si="15"/>
        <v>84425.153791737204</v>
      </c>
      <c r="M31" s="147">
        <f>VLOOKUP($A$1,REM_ToolEnrico!$B$5:$J$38,8,FALSE)</f>
        <v>84477.933439848552</v>
      </c>
      <c r="N31" s="53">
        <v>0</v>
      </c>
      <c r="O31" s="48">
        <f t="shared" si="16"/>
        <v>84477.933439848552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20000</v>
      </c>
      <c r="E32" s="54">
        <f>+E33+E34+E35+E36</f>
        <v>0</v>
      </c>
      <c r="F32" s="48">
        <f t="shared" si="13"/>
        <v>20000</v>
      </c>
      <c r="G32" s="54">
        <f>+G33+G34+G35+G36</f>
        <v>20000</v>
      </c>
      <c r="H32" s="54">
        <f>+H33+H34+H35+H36</f>
        <v>0</v>
      </c>
      <c r="I32" s="48">
        <f t="shared" si="14"/>
        <v>20000</v>
      </c>
      <c r="J32" s="54">
        <f>+J33+J34+J35+J36</f>
        <v>20000</v>
      </c>
      <c r="K32" s="54">
        <f>+K33+K34+K35+K36</f>
        <v>0</v>
      </c>
      <c r="L32" s="48">
        <f t="shared" si="15"/>
        <v>20000</v>
      </c>
      <c r="M32" s="54">
        <f>+M33+M34+M35+M36</f>
        <v>20000</v>
      </c>
      <c r="N32" s="54">
        <f>+N33+N34+N35+N36</f>
        <v>0</v>
      </c>
      <c r="O32" s="48">
        <f t="shared" si="16"/>
        <v>20000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159">
        <v>20000</v>
      </c>
      <c r="E33" s="47">
        <v>0</v>
      </c>
      <c r="F33" s="48">
        <f t="shared" si="13"/>
        <v>20000</v>
      </c>
      <c r="G33" s="159">
        <v>20000</v>
      </c>
      <c r="H33" s="47">
        <v>0</v>
      </c>
      <c r="I33" s="48">
        <f t="shared" si="14"/>
        <v>20000</v>
      </c>
      <c r="J33" s="159">
        <v>20000</v>
      </c>
      <c r="K33" s="47">
        <v>0</v>
      </c>
      <c r="L33" s="48">
        <f t="shared" si="15"/>
        <v>20000</v>
      </c>
      <c r="M33" s="47">
        <v>20000</v>
      </c>
      <c r="N33" s="47">
        <v>0</v>
      </c>
      <c r="O33" s="48">
        <f t="shared" si="16"/>
        <v>20000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0</v>
      </c>
      <c r="F34" s="48">
        <f>D34+E34</f>
        <v>0</v>
      </c>
      <c r="G34" s="47">
        <v>0</v>
      </c>
      <c r="H34" s="47">
        <v>0</v>
      </c>
      <c r="I34" s="48">
        <f>G34+H34</f>
        <v>0</v>
      </c>
      <c r="J34" s="47">
        <v>0</v>
      </c>
      <c r="K34" s="158">
        <v>0</v>
      </c>
      <c r="L34" s="48">
        <f t="shared" si="15"/>
        <v>0</v>
      </c>
      <c r="M34" s="47">
        <v>0</v>
      </c>
      <c r="N34" s="158">
        <v>0</v>
      </c>
      <c r="O34" s="48">
        <f t="shared" si="16"/>
        <v>0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38365.296808399522</v>
      </c>
      <c r="E37" s="47">
        <v>0</v>
      </c>
      <c r="F37" s="48">
        <f t="shared" si="13"/>
        <v>38365.296808399522</v>
      </c>
      <c r="G37" s="147">
        <f>VLOOKUP($A$1,REM_ToolEnrico!$B$5:$J$38,5,FALSE)</f>
        <v>32379.868238695086</v>
      </c>
      <c r="H37" s="47">
        <v>0</v>
      </c>
      <c r="I37" s="48">
        <f t="shared" si="17"/>
        <v>32379.868238695086</v>
      </c>
      <c r="J37" s="147">
        <f>VLOOKUP($A$1,REM_ToolEnrico!$B$5:$J$38,7,FALSE)</f>
        <v>27526.848304547122</v>
      </c>
      <c r="K37" s="47">
        <v>0</v>
      </c>
      <c r="L37" s="48">
        <f t="shared" si="15"/>
        <v>27526.848304547122</v>
      </c>
      <c r="M37" s="147">
        <f>VLOOKUP($A$1,REM_ToolEnrico!$B$5:$J$38,9,FALSE)</f>
        <v>22274.114125239048</v>
      </c>
      <c r="N37" s="47">
        <v>0</v>
      </c>
      <c r="O37" s="48">
        <f t="shared" si="16"/>
        <v>22274.114125239048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68.727107107089466</v>
      </c>
      <c r="E38" s="47">
        <v>0</v>
      </c>
      <c r="F38" s="48">
        <f t="shared" si="13"/>
        <v>68.727107107089466</v>
      </c>
      <c r="G38" s="47">
        <v>68.86456132130364</v>
      </c>
      <c r="H38" s="47">
        <v>0</v>
      </c>
      <c r="I38" s="48">
        <f t="shared" si="17"/>
        <v>68.86456132130364</v>
      </c>
      <c r="J38" s="47">
        <v>68.86456132130364</v>
      </c>
      <c r="K38" s="47">
        <v>0</v>
      </c>
      <c r="L38" s="48">
        <f t="shared" si="15"/>
        <v>68.86456132130364</v>
      </c>
      <c r="M38" s="47">
        <v>68.86456132130364</v>
      </c>
      <c r="N38" s="47">
        <v>0</v>
      </c>
      <c r="O38" s="48">
        <f t="shared" si="16"/>
        <v>68.86456132130364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142102.76641934068</v>
      </c>
      <c r="E40" s="51">
        <f>E38+E37+E32+E31+E39</f>
        <v>0</v>
      </c>
      <c r="F40" s="52">
        <f t="shared" si="13"/>
        <v>142102.76641934068</v>
      </c>
      <c r="G40" s="51">
        <f>G38+G37+G32+G31+G39</f>
        <v>135765.0957319907</v>
      </c>
      <c r="H40" s="51">
        <f>H38+H37+H32+H31+H39</f>
        <v>0</v>
      </c>
      <c r="I40" s="52">
        <f t="shared" si="17"/>
        <v>135765.0957319907</v>
      </c>
      <c r="J40" s="51">
        <f>J38+J37+J32+J31+J39</f>
        <v>132020.86665760563</v>
      </c>
      <c r="K40" s="51">
        <f>K38+K37+K32+K31+K39</f>
        <v>0</v>
      </c>
      <c r="L40" s="52">
        <f t="shared" si="15"/>
        <v>132020.86665760563</v>
      </c>
      <c r="M40" s="51">
        <f>M38+M37+M32+M31+M39</f>
        <v>126820.9121264089</v>
      </c>
      <c r="N40" s="51">
        <f>N38+N37+N32+N31+N39</f>
        <v>0</v>
      </c>
      <c r="O40" s="52">
        <f t="shared" si="16"/>
        <v>126820.9121264089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1767.681405825339</v>
      </c>
      <c r="E42" s="22">
        <v>0</v>
      </c>
      <c r="F42" s="36">
        <f t="shared" si="13"/>
        <v>1767.681405825339</v>
      </c>
      <c r="G42" s="22">
        <v>3330.7437421660725</v>
      </c>
      <c r="H42" s="22">
        <v>0</v>
      </c>
      <c r="I42" s="36">
        <f t="shared" si="17"/>
        <v>3330.7437421660725</v>
      </c>
      <c r="J42" s="22">
        <v>3330.7437421660725</v>
      </c>
      <c r="K42" s="22">
        <v>0</v>
      </c>
      <c r="L42" s="36">
        <f t="shared" si="15"/>
        <v>3330.7437421660725</v>
      </c>
      <c r="M42" s="22">
        <v>3330.7437421660725</v>
      </c>
      <c r="N42" s="22">
        <v>0</v>
      </c>
      <c r="O42" s="36">
        <f t="shared" si="16"/>
        <v>3330.7437421660725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0</v>
      </c>
      <c r="F44" s="36">
        <f t="shared" si="13"/>
        <v>0</v>
      </c>
      <c r="G44" s="57">
        <v>1204.5410457326288</v>
      </c>
      <c r="H44" s="57">
        <v>0</v>
      </c>
      <c r="I44" s="36">
        <f t="shared" si="17"/>
        <v>1204.5410457326288</v>
      </c>
      <c r="J44" s="57">
        <v>25441.74325</v>
      </c>
      <c r="K44" s="57">
        <v>0</v>
      </c>
      <c r="L44" s="36">
        <f t="shared" si="15"/>
        <v>25441.74325</v>
      </c>
      <c r="M44" s="57">
        <v>27500</v>
      </c>
      <c r="N44" s="57">
        <v>0</v>
      </c>
      <c r="O44" s="36">
        <f>M44+N44</f>
        <v>27500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23016.092509310984</v>
      </c>
      <c r="F45" s="36">
        <f>E45</f>
        <v>23016.092509310984</v>
      </c>
      <c r="G45" s="34"/>
      <c r="H45" s="22">
        <f>G47*0.1</f>
        <v>23017.976376066585</v>
      </c>
      <c r="I45" s="36">
        <f>H45</f>
        <v>23017.976376066585</v>
      </c>
      <c r="J45" s="34"/>
      <c r="K45" s="22">
        <f>J47*0.1</f>
        <v>25067.273689054815</v>
      </c>
      <c r="L45" s="36">
        <f>K45</f>
        <v>25067.273689054815</v>
      </c>
      <c r="M45" s="34"/>
      <c r="N45" s="22">
        <v>0</v>
      </c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230160.92509310981</v>
      </c>
      <c r="E47" s="59">
        <f>E25+E30+E40+E41+E42+E43+E44+E45</f>
        <v>23016.092509310984</v>
      </c>
      <c r="F47" s="60">
        <f>D47+E47</f>
        <v>253177.01760242079</v>
      </c>
      <c r="G47" s="59">
        <f>G25+G30+G40+G41+G42+G43+G44+G46</f>
        <v>230179.76376066584</v>
      </c>
      <c r="H47" s="59">
        <f>H25+H30+H40+H41+H42+H43+H44+H45+H46</f>
        <v>23017.976376066585</v>
      </c>
      <c r="I47" s="60">
        <f>G47+H47</f>
        <v>253197.74013673243</v>
      </c>
      <c r="J47" s="59">
        <f>J25+J30+J40+J41+J42+J43+J44+J46</f>
        <v>250672.73689054814</v>
      </c>
      <c r="K47" s="59">
        <f>K25+K30+K40+K41+K42+K43+K44+K45+K46</f>
        <v>25067.273689054815</v>
      </c>
      <c r="L47" s="60">
        <f>J47+K47</f>
        <v>275740.01057960297</v>
      </c>
      <c r="M47" s="59">
        <f>M25+M30+M40+M41+M42+M43+M44+M46</f>
        <v>247531.0391093514</v>
      </c>
      <c r="N47" s="59">
        <f>N25+N30+N40+N41+N42+N43+N44+N45+N46</f>
        <v>0</v>
      </c>
      <c r="O47" s="60">
        <f>M47+N47</f>
        <v>247531.0391093514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419635.66517250473</v>
      </c>
      <c r="E49" s="65">
        <v>48096.517805250485</v>
      </c>
      <c r="F49" s="65">
        <f>D49+E49</f>
        <v>467732.1829777552</v>
      </c>
      <c r="G49" s="65">
        <f>G50</f>
        <v>439484.44661184226</v>
      </c>
      <c r="H49" s="65">
        <v>50081.395949184225</v>
      </c>
      <c r="I49" s="65">
        <f t="shared" ref="I49" si="21">G49+H49</f>
        <v>489565.84256102645</v>
      </c>
      <c r="J49" s="65">
        <f>J50</f>
        <v>466497.03049172455</v>
      </c>
      <c r="K49" s="65">
        <v>41948.444661184229</v>
      </c>
      <c r="L49" s="65">
        <f t="shared" ref="L49" si="22">J49+K49</f>
        <v>508445.47515290877</v>
      </c>
      <c r="M49" s="65">
        <f>M50</f>
        <v>484335.72196052782</v>
      </c>
      <c r="N49" s="65">
        <v>41948.444661184229</v>
      </c>
      <c r="O49" s="65">
        <f t="shared" ref="O49" si="23">M49+N49</f>
        <v>526284.16662171204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419635.66517250473</v>
      </c>
      <c r="E50" s="59">
        <f t="shared" si="24"/>
        <v>41963.566517250481</v>
      </c>
      <c r="F50" s="59">
        <f t="shared" si="24"/>
        <v>461599.23168975522</v>
      </c>
      <c r="G50" s="59">
        <f>+G23+G47</f>
        <v>439484.44661184226</v>
      </c>
      <c r="H50" s="59">
        <f t="shared" si="24"/>
        <v>43948.444661184229</v>
      </c>
      <c r="I50" s="59">
        <f t="shared" si="24"/>
        <v>483432.89127302647</v>
      </c>
      <c r="J50" s="59">
        <f t="shared" si="24"/>
        <v>466497.03049172455</v>
      </c>
      <c r="K50" s="59">
        <f>+K23+K47</f>
        <v>46649.703049172458</v>
      </c>
      <c r="L50" s="59">
        <f t="shared" si="24"/>
        <v>513146.73354089702</v>
      </c>
      <c r="M50" s="59">
        <f>+M23+M47</f>
        <v>484335.72196052782</v>
      </c>
      <c r="N50" s="59">
        <f t="shared" si="24"/>
        <v>48433.572196052788</v>
      </c>
      <c r="O50" s="59">
        <f t="shared" si="24"/>
        <v>532769.2941565807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-11787.750868406278</v>
      </c>
      <c r="E51" s="68">
        <f>E44+E20</f>
        <v>0</v>
      </c>
      <c r="F51" s="146"/>
      <c r="G51" s="68">
        <f>G44+G20</f>
        <v>1204.5410457326288</v>
      </c>
      <c r="H51" s="68">
        <f>H44+H20</f>
        <v>0</v>
      </c>
      <c r="I51" s="146"/>
      <c r="J51" s="68">
        <f>J44+J20</f>
        <v>31961.353999999999</v>
      </c>
      <c r="K51" s="68">
        <f>K44+K20</f>
        <v>0</v>
      </c>
      <c r="L51" s="146"/>
      <c r="M51" s="68">
        <f>M44+M20</f>
        <v>55000</v>
      </c>
      <c r="N51" s="68">
        <f>N44+N20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0.84529999999999994</v>
      </c>
      <c r="G53" s="72"/>
      <c r="H53" s="73"/>
      <c r="I53" s="74">
        <v>0.84529999999999994</v>
      </c>
      <c r="J53" s="72"/>
      <c r="K53" s="73"/>
      <c r="L53" s="74">
        <v>0.84529999999999994</v>
      </c>
      <c r="M53" s="72"/>
      <c r="N53" s="73"/>
      <c r="O53" s="74">
        <v>0.84529999999999994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1256.6420000000001</v>
      </c>
      <c r="G54" s="34"/>
      <c r="H54" s="76"/>
      <c r="I54" s="77">
        <v>1256.6420000000001</v>
      </c>
      <c r="J54" s="34"/>
      <c r="K54" s="76"/>
      <c r="L54" s="77">
        <v>1256.6420000000001</v>
      </c>
      <c r="M54" s="34"/>
      <c r="N54" s="76"/>
      <c r="O54" s="77">
        <v>1256.6420000000001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39.221137199964701</v>
      </c>
      <c r="G55" s="34"/>
      <c r="H55" s="76"/>
      <c r="I55" s="78">
        <v>35.643199926380518</v>
      </c>
      <c r="J55" s="34"/>
      <c r="K55" s="76"/>
      <c r="L55" s="78">
        <v>35.492947752164454</v>
      </c>
      <c r="M55" s="34"/>
      <c r="N55" s="76"/>
      <c r="O55" s="78">
        <v>37.189320015897636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33.359407491167232</v>
      </c>
      <c r="G56" s="81"/>
      <c r="H56" s="82"/>
      <c r="I56" s="78">
        <v>33.359407491167232</v>
      </c>
      <c r="J56" s="81"/>
      <c r="K56" s="82"/>
      <c r="L56" s="78">
        <v>33.359407491167232</v>
      </c>
      <c r="M56" s="81"/>
      <c r="N56" s="82"/>
      <c r="O56" s="78">
        <v>33.359407491167232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0</v>
      </c>
      <c r="G60" s="90"/>
      <c r="H60" s="76"/>
      <c r="I60" s="89">
        <v>0</v>
      </c>
      <c r="J60" s="34"/>
      <c r="K60" s="91"/>
      <c r="L60" s="89">
        <v>0</v>
      </c>
      <c r="M60" s="34"/>
      <c r="N60" s="76"/>
      <c r="O60" s="89">
        <v>0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0</v>
      </c>
      <c r="G61" s="90"/>
      <c r="H61" s="76"/>
      <c r="I61" s="92">
        <v>0</v>
      </c>
      <c r="J61" s="34"/>
      <c r="K61" s="76"/>
      <c r="L61" s="93">
        <v>0</v>
      </c>
      <c r="M61" s="34"/>
      <c r="N61" s="76"/>
      <c r="O61" s="92">
        <v>0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1</v>
      </c>
      <c r="G62" s="95"/>
      <c r="H62" s="82"/>
      <c r="I62" s="94">
        <v>1</v>
      </c>
      <c r="J62" s="81"/>
      <c r="K62" s="82"/>
      <c r="L62" s="94">
        <v>1</v>
      </c>
      <c r="M62" s="81"/>
      <c r="N62" s="82"/>
      <c r="O62" s="94">
        <v>1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461599.23168975522</v>
      </c>
      <c r="G72" s="34"/>
      <c r="H72" s="76"/>
      <c r="I72" s="108">
        <f>I50</f>
        <v>483432.89127302647</v>
      </c>
      <c r="J72" s="34"/>
      <c r="K72" s="76"/>
      <c r="L72" s="108">
        <f>L50</f>
        <v>513146.73354089702</v>
      </c>
      <c r="M72" s="34"/>
      <c r="N72" s="76"/>
      <c r="O72" s="108">
        <f>O50</f>
        <v>532769.2941565807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200598.23336805907</v>
      </c>
      <c r="G73" s="34"/>
      <c r="H73" s="76"/>
      <c r="I73" s="110">
        <f>F81</f>
        <v>208422.21408733443</v>
      </c>
      <c r="J73" s="34"/>
      <c r="K73" s="76"/>
      <c r="L73" s="110">
        <f>I81</f>
        <v>230235.15113629407</v>
      </c>
      <c r="M73" s="34"/>
      <c r="N73" s="76"/>
      <c r="O73" s="110">
        <f>L81</f>
        <v>237406.72296129406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247309.18705080761</v>
      </c>
      <c r="G74" s="34"/>
      <c r="H74" s="76"/>
      <c r="I74" s="110">
        <f>F82</f>
        <v>253177.01760242076</v>
      </c>
      <c r="J74" s="34"/>
      <c r="K74" s="76"/>
      <c r="L74" s="110">
        <f>I82</f>
        <v>253197.74013673243</v>
      </c>
      <c r="M74" s="34"/>
      <c r="N74" s="76"/>
      <c r="O74" s="110">
        <f>L82</f>
        <v>275740.01057960297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447907.42041886668</v>
      </c>
      <c r="G75" s="34"/>
      <c r="H75" s="76"/>
      <c r="I75" s="111">
        <f>SUM(I73:I74)</f>
        <v>461599.23168975522</v>
      </c>
      <c r="J75" s="34"/>
      <c r="K75" s="76"/>
      <c r="L75" s="111">
        <f>SUM(L73:L74)</f>
        <v>483432.89127302647</v>
      </c>
      <c r="M75" s="34"/>
      <c r="N75" s="76"/>
      <c r="O75" s="111">
        <f>SUM(O73:O74)</f>
        <v>513146.73354089702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1.0305683957146423</v>
      </c>
      <c r="G76" s="81"/>
      <c r="H76" s="82"/>
      <c r="I76" s="112">
        <f>I72/I75</f>
        <v>1.0473000344982069</v>
      </c>
      <c r="J76" s="81"/>
      <c r="K76" s="82"/>
      <c r="L76" s="112">
        <f>L72/L75</f>
        <v>1.0614642545103312</v>
      </c>
      <c r="M76" s="81"/>
      <c r="N76" s="82"/>
      <c r="O76" s="112">
        <f>O72/O75</f>
        <v>1.0382396677852375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461599.23168975522</v>
      </c>
      <c r="G78" s="73"/>
      <c r="H78" s="73"/>
      <c r="I78" s="115">
        <f>IF(I72&lt;=I75*I71,I72,I75*I71)</f>
        <v>483432.89127302647</v>
      </c>
      <c r="J78" s="73"/>
      <c r="K78" s="73"/>
      <c r="L78" s="115">
        <f>IF(L72&lt;=L75*L71,L72,L75*L71)</f>
        <v>513146.73354089702</v>
      </c>
      <c r="M78" s="73"/>
      <c r="N78" s="73"/>
      <c r="O78" s="115">
        <f>IF(O72&lt;=O75*O71,O72,O75*O71)</f>
        <v>532769.2941565807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189474.74007939495</v>
      </c>
      <c r="E81" s="120">
        <f>E23</f>
        <v>18947.474007939494</v>
      </c>
      <c r="F81" s="115">
        <f>D81+E81</f>
        <v>208422.21408733443</v>
      </c>
      <c r="G81" s="119">
        <f>G23-I79</f>
        <v>209304.68285117642</v>
      </c>
      <c r="H81" s="120">
        <f>H23</f>
        <v>20930.468285117644</v>
      </c>
      <c r="I81" s="115">
        <f>G81+H81</f>
        <v>230235.15113629407</v>
      </c>
      <c r="J81" s="119">
        <f>J23-L79</f>
        <v>215824.29360117641</v>
      </c>
      <c r="K81" s="120">
        <f>K23</f>
        <v>21582.429360117643</v>
      </c>
      <c r="L81" s="115">
        <f>J81+K81</f>
        <v>237406.72296129406</v>
      </c>
      <c r="M81" s="119">
        <f>M23-O79</f>
        <v>236804.68285117642</v>
      </c>
      <c r="N81" s="120">
        <f>N23</f>
        <v>48433.572196052788</v>
      </c>
      <c r="O81" s="115">
        <f>M81+N81</f>
        <v>285238.25504722924</v>
      </c>
    </row>
    <row r="82" spans="1:52" s="14" customFormat="1" ht="20" customHeight="1" thickBot="1">
      <c r="B82" s="118" t="s">
        <v>72</v>
      </c>
      <c r="D82" s="121">
        <f>D50-D81-F79</f>
        <v>230160.92509310978</v>
      </c>
      <c r="E82" s="122">
        <f>E50-E81</f>
        <v>23016.092509310987</v>
      </c>
      <c r="F82" s="123">
        <f>D82+E82</f>
        <v>253177.01760242076</v>
      </c>
      <c r="G82" s="121">
        <f>G49-G81-I79</f>
        <v>230179.76376066584</v>
      </c>
      <c r="H82" s="122">
        <f>H50-H81</f>
        <v>23017.976376066585</v>
      </c>
      <c r="I82" s="123">
        <f>G82+H82</f>
        <v>253197.74013673243</v>
      </c>
      <c r="J82" s="121">
        <f>J50-J81-L79</f>
        <v>250672.73689054814</v>
      </c>
      <c r="K82" s="122">
        <f>K50-K81</f>
        <v>25067.273689054815</v>
      </c>
      <c r="L82" s="123">
        <f>J82+K82</f>
        <v>275740.01057960297</v>
      </c>
      <c r="M82" s="121">
        <f>M49-M81</f>
        <v>247531.0391093514</v>
      </c>
      <c r="N82" s="122">
        <f>N50-N81</f>
        <v>0</v>
      </c>
      <c r="O82" s="123">
        <f>M82+N82</f>
        <v>247531.0391093514</v>
      </c>
    </row>
    <row r="83" spans="1:52" s="124" customFormat="1" ht="17.25" customHeight="1" thickBot="1">
      <c r="B83" s="125" t="s">
        <v>73</v>
      </c>
      <c r="C83" s="14"/>
      <c r="D83" s="126">
        <f>SUM(D81:D82)</f>
        <v>419635.66517250473</v>
      </c>
      <c r="E83" s="127">
        <f t="shared" ref="E83:O83" si="25">SUM(E81:E82)</f>
        <v>41963.566517250481</v>
      </c>
      <c r="F83" s="128">
        <f t="shared" si="25"/>
        <v>461599.23168975522</v>
      </c>
      <c r="G83" s="126">
        <f t="shared" si="25"/>
        <v>439484.44661184226</v>
      </c>
      <c r="H83" s="127">
        <f t="shared" si="25"/>
        <v>43948.444661184229</v>
      </c>
      <c r="I83" s="128">
        <f t="shared" si="25"/>
        <v>483432.89127302647</v>
      </c>
      <c r="J83" s="126">
        <f t="shared" si="25"/>
        <v>466497.03049172455</v>
      </c>
      <c r="K83" s="127">
        <f t="shared" si="25"/>
        <v>46649.703049172458</v>
      </c>
      <c r="L83" s="128">
        <f t="shared" si="25"/>
        <v>513146.73354089702</v>
      </c>
      <c r="M83" s="126">
        <f t="shared" si="25"/>
        <v>484335.72196052782</v>
      </c>
      <c r="N83" s="127">
        <f t="shared" si="25"/>
        <v>48433.572196052788</v>
      </c>
      <c r="O83" s="128">
        <f t="shared" si="25"/>
        <v>532769.2941565807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208422.21408733443</v>
      </c>
      <c r="G88" s="72"/>
      <c r="H88" s="73"/>
      <c r="I88" s="136">
        <f>I81-I85</f>
        <v>230235.15113629407</v>
      </c>
      <c r="J88" s="72"/>
      <c r="K88" s="73"/>
      <c r="L88" s="136">
        <f>L81-L85</f>
        <v>237406.72296129406</v>
      </c>
      <c r="M88" s="72"/>
      <c r="N88" s="73"/>
      <c r="O88" s="136">
        <f>O81-O85</f>
        <v>285238.25504722924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253177.01760242076</v>
      </c>
      <c r="G89" s="34"/>
      <c r="H89" s="76"/>
      <c r="I89" s="138">
        <f>I82-I86</f>
        <v>253197.74013673243</v>
      </c>
      <c r="J89" s="34"/>
      <c r="K89" s="76"/>
      <c r="L89" s="138">
        <f>L82-L86</f>
        <v>275740.01057960297</v>
      </c>
      <c r="M89" s="34"/>
      <c r="N89" s="76"/>
      <c r="O89" s="138">
        <f>O82-O86</f>
        <v>247531.0391093514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461599.23168975522</v>
      </c>
      <c r="G90" s="81"/>
      <c r="H90" s="82"/>
      <c r="I90" s="139">
        <f>+I88+I89</f>
        <v>483432.89127302647</v>
      </c>
      <c r="J90" s="81"/>
      <c r="K90" s="82"/>
      <c r="L90" s="139">
        <f>+L88+L89</f>
        <v>513146.73354089702</v>
      </c>
      <c r="M90" s="81"/>
      <c r="N90" s="82"/>
      <c r="O90" s="139">
        <f>+O88+O89</f>
        <v>532769.2941565807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-86.354501494733995</v>
      </c>
      <c r="E92" s="143">
        <v>0</v>
      </c>
      <c r="F92" s="144">
        <f>D92+E92</f>
        <v>-86.354501494733995</v>
      </c>
      <c r="G92" s="142">
        <v>-4093.7101817797147</v>
      </c>
      <c r="H92" s="143">
        <v>0</v>
      </c>
      <c r="I92" s="144">
        <f>G92+H92</f>
        <v>-4093.7101817797147</v>
      </c>
      <c r="J92" s="142">
        <v>-4093.7101817797147</v>
      </c>
      <c r="K92" s="143">
        <v>0</v>
      </c>
      <c r="L92" s="144">
        <f>J92+K92</f>
        <v>-4093.7101817797147</v>
      </c>
      <c r="M92" s="142">
        <v>-4093.7101817797147</v>
      </c>
      <c r="N92" s="143">
        <v>0</v>
      </c>
      <c r="O92" s="144">
        <f>M92+N92</f>
        <v>-4093.7101817797147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446952.88636485429</v>
      </c>
      <c r="E96" s="166">
        <f>E6+E7+E8+E9+E11+E25+E30+E40+E42+E21+E45</f>
        <v>41963.566517250481</v>
      </c>
      <c r="F96" s="166">
        <f t="shared" ref="F96" si="26">F6+F7+F8+F9+F11+F25+F30+F40+F42</f>
        <v>446952.88636485429</v>
      </c>
      <c r="G96" s="166">
        <f t="shared" ref="G96" si="27">G6+G7+G8+G9+G11+G25+G30+G40+G42+G21+G45</f>
        <v>453793.86193368532</v>
      </c>
      <c r="H96" s="166">
        <f t="shared" ref="H96" si="28">H6+H7+H8+H9+H11+H25+H30+H40+H42</f>
        <v>0</v>
      </c>
      <c r="I96" s="166">
        <f t="shared" ref="I96" si="29">I6+I7+I8+I9+I11+I25+I30+I40+I42+I21+I45</f>
        <v>497742.30659486953</v>
      </c>
      <c r="J96" s="166">
        <f t="shared" ref="J96" si="30">J6+J7+J8+J9+J11+J25+J30+J40+J42</f>
        <v>450049.63285930024</v>
      </c>
      <c r="K96" s="166">
        <f t="shared" ref="K96" si="31">K6+K7+K8+K9+K11+K25+K30+K40+K42+K21+K45</f>
        <v>46649.703049172458</v>
      </c>
      <c r="L96" s="166">
        <f t="shared" ref="L96" si="32">L6+L7+L8+L9+L11+L25+L30+L40+L42</f>
        <v>450049.63285930024</v>
      </c>
      <c r="M96" s="166">
        <f t="shared" ref="M96" si="33">M6+M7+M8+M9+M11+M25+M30+M40+M42+M21+M45</f>
        <v>444849.6783281035</v>
      </c>
      <c r="N96" s="166">
        <f>N6+N7+N8+N9+N11+N25+N30+N40+N42+N21+N45</f>
        <v>48433.572196052788</v>
      </c>
      <c r="O96" s="166">
        <f t="shared" ref="O96" si="34">O6+O7+O8+O9+O11+O25+O30+O40+O42+O21+O45</f>
        <v>493283.25052415626</v>
      </c>
    </row>
    <row r="97" spans="4:15" s="14" customFormat="1">
      <c r="D97" s="166">
        <f>D96-D15-D19</f>
        <v>431423.41604091105</v>
      </c>
      <c r="E97" s="166">
        <f>E96-E15-E19</f>
        <v>41963.566517250481</v>
      </c>
      <c r="F97" s="166">
        <f t="shared" ref="F97:O97" si="35">F96-F15-F19</f>
        <v>431423.41604091105</v>
      </c>
      <c r="G97" s="166">
        <f t="shared" si="35"/>
        <v>438279.90556610969</v>
      </c>
      <c r="H97" s="166">
        <f t="shared" si="35"/>
        <v>0</v>
      </c>
      <c r="I97" s="166">
        <f t="shared" si="35"/>
        <v>482228.35022729391</v>
      </c>
      <c r="J97" s="166">
        <f t="shared" si="35"/>
        <v>434535.67649172462</v>
      </c>
      <c r="K97" s="166">
        <f t="shared" si="35"/>
        <v>46649.703049172458</v>
      </c>
      <c r="L97" s="166">
        <f t="shared" si="35"/>
        <v>434535.67649172462</v>
      </c>
      <c r="M97" s="166">
        <f t="shared" si="35"/>
        <v>429335.72196052788</v>
      </c>
      <c r="N97" s="166">
        <f t="shared" si="35"/>
        <v>48433.572196052788</v>
      </c>
      <c r="O97" s="166">
        <f t="shared" si="35"/>
        <v>477769.29415658064</v>
      </c>
    </row>
    <row r="98" spans="4:15" s="14" customFormat="1">
      <c r="D98" s="166">
        <f>D20+D44</f>
        <v>-11787.750868406278</v>
      </c>
      <c r="E98" s="166">
        <f>E20+E44</f>
        <v>0</v>
      </c>
      <c r="F98" s="166">
        <f t="shared" ref="F98:O98" si="36">F20+F44</f>
        <v>-11787.750868406278</v>
      </c>
      <c r="G98" s="166">
        <f t="shared" si="36"/>
        <v>1204.5410457326288</v>
      </c>
      <c r="H98" s="166">
        <f t="shared" si="36"/>
        <v>0</v>
      </c>
      <c r="I98" s="166">
        <f t="shared" si="36"/>
        <v>1204.5410457326288</v>
      </c>
      <c r="J98" s="166">
        <f t="shared" si="36"/>
        <v>31961.353999999999</v>
      </c>
      <c r="K98" s="166">
        <f t="shared" si="36"/>
        <v>0</v>
      </c>
      <c r="L98" s="166">
        <f t="shared" si="36"/>
        <v>31961.353999999999</v>
      </c>
      <c r="M98" s="166">
        <f t="shared" si="36"/>
        <v>55000</v>
      </c>
      <c r="N98" s="166">
        <f t="shared" si="36"/>
        <v>0</v>
      </c>
      <c r="O98" s="166">
        <f t="shared" si="36"/>
        <v>55000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201" priority="7" operator="containsText" text="ERRORE">
      <formula>NOT(ISERROR(SEARCH("ERRORE",F81)))</formula>
    </cfRule>
  </conditionalFormatting>
  <conditionalFormatting sqref="I83">
    <cfRule type="containsText" dxfId="200" priority="6" operator="containsText" text="ERRORE">
      <formula>NOT(ISERROR(SEARCH("ERRORE",I83)))</formula>
    </cfRule>
  </conditionalFormatting>
  <conditionalFormatting sqref="I81:I82">
    <cfRule type="containsText" dxfId="199" priority="5" operator="containsText" text="ERRORE">
      <formula>NOT(ISERROR(SEARCH("ERRORE",I81)))</formula>
    </cfRule>
  </conditionalFormatting>
  <conditionalFormatting sqref="L83">
    <cfRule type="containsText" dxfId="198" priority="4" operator="containsText" text="ERRORE">
      <formula>NOT(ISERROR(SEARCH("ERRORE",L83)))</formula>
    </cfRule>
  </conditionalFormatting>
  <conditionalFormatting sqref="L81:L82">
    <cfRule type="containsText" dxfId="197" priority="3" operator="containsText" text="ERRORE">
      <formula>NOT(ISERROR(SEARCH("ERRORE",L81)))</formula>
    </cfRule>
  </conditionalFormatting>
  <conditionalFormatting sqref="O83">
    <cfRule type="containsText" dxfId="196" priority="2" operator="containsText" text="ERRORE">
      <formula>NOT(ISERROR(SEARCH("ERRORE",O83)))</formula>
    </cfRule>
  </conditionalFormatting>
  <conditionalFormatting sqref="O81:O82">
    <cfRule type="containsText" dxfId="195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C43" zoomScale="80" zoomScaleNormal="80" zoomScalePageLayoutView="80" workbookViewId="0">
      <selection activeCell="G20" sqref="G20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90</v>
      </c>
      <c r="B1" s="2" t="str">
        <f>"       PEF 2022 - 2025"&amp;" - "&amp;A1</f>
        <v xml:space="preserve">       PEF 2022 - 2025 - Dolo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142</v>
      </c>
      <c r="E4" s="188"/>
      <c r="F4" s="189"/>
      <c r="G4" s="187" t="str">
        <f>D4</f>
        <v>Ambito tariffario: Dolo</v>
      </c>
      <c r="H4" s="188"/>
      <c r="I4" s="189"/>
      <c r="J4" s="187" t="str">
        <f>D4</f>
        <v>Ambito tariffario: Dolo</v>
      </c>
      <c r="K4" s="188"/>
      <c r="L4" s="189"/>
      <c r="M4" s="187" t="str">
        <f>D4</f>
        <v>Ambito tariffario: Dolo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275239.01438187773</v>
      </c>
      <c r="E6" s="22">
        <v>0</v>
      </c>
      <c r="F6" s="23">
        <f>D6+E6</f>
        <v>275239.01438187773</v>
      </c>
      <c r="G6" s="22">
        <v>284722.04451906914</v>
      </c>
      <c r="H6" s="22">
        <v>0</v>
      </c>
      <c r="I6" s="23">
        <f>G6+H6</f>
        <v>284722.04451906914</v>
      </c>
      <c r="J6" s="22">
        <v>284722.04451906914</v>
      </c>
      <c r="K6" s="22">
        <v>0</v>
      </c>
      <c r="L6" s="23">
        <f>J6+K6</f>
        <v>284722.04451906914</v>
      </c>
      <c r="M6" s="22">
        <v>284722.04451906914</v>
      </c>
      <c r="N6" s="22">
        <v>0</v>
      </c>
      <c r="O6" s="23">
        <f>M6+N6</f>
        <v>284722.04451906914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269186.90361837531</v>
      </c>
      <c r="E7" s="22">
        <v>0</v>
      </c>
      <c r="F7" s="23">
        <f t="shared" ref="F7:F20" si="0">D7+E7</f>
        <v>269186.90361837531</v>
      </c>
      <c r="G7" s="22">
        <v>281779.86869914859</v>
      </c>
      <c r="H7" s="22">
        <v>0</v>
      </c>
      <c r="I7" s="23">
        <f t="shared" ref="I7:I13" si="1">G7+H7</f>
        <v>281779.86869914859</v>
      </c>
      <c r="J7" s="22">
        <v>281779.86869914859</v>
      </c>
      <c r="K7" s="22">
        <v>0</v>
      </c>
      <c r="L7" s="23">
        <f t="shared" ref="L7:L12" si="2">J7+K7</f>
        <v>281779.86869914859</v>
      </c>
      <c r="M7" s="22">
        <v>281779.86869914859</v>
      </c>
      <c r="N7" s="22">
        <v>0</v>
      </c>
      <c r="O7" s="23">
        <f t="shared" ref="O7:O13" si="3">M7+N7</f>
        <v>281779.86869914859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285413.97688736132</v>
      </c>
      <c r="E8" s="22">
        <v>0</v>
      </c>
      <c r="F8" s="23">
        <f t="shared" si="0"/>
        <v>285413.97688736132</v>
      </c>
      <c r="G8" s="22">
        <v>298773.06829866389</v>
      </c>
      <c r="H8" s="22">
        <v>0</v>
      </c>
      <c r="I8" s="23">
        <f t="shared" si="1"/>
        <v>298773.06829866389</v>
      </c>
      <c r="J8" s="22">
        <v>298773.06829866389</v>
      </c>
      <c r="K8" s="22">
        <v>0</v>
      </c>
      <c r="L8" s="23">
        <f t="shared" si="2"/>
        <v>298773.06829866389</v>
      </c>
      <c r="M8" s="22">
        <v>298773.06829866389</v>
      </c>
      <c r="N8" s="22">
        <v>0</v>
      </c>
      <c r="O8" s="23">
        <f t="shared" si="3"/>
        <v>298773.06829866389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624104.90128728573</v>
      </c>
      <c r="E9" s="22">
        <v>0</v>
      </c>
      <c r="F9" s="23">
        <f t="shared" si="0"/>
        <v>624104.90128728573</v>
      </c>
      <c r="G9" s="22">
        <v>641731.99485750997</v>
      </c>
      <c r="H9" s="22">
        <v>0</v>
      </c>
      <c r="I9" s="23">
        <f t="shared" si="1"/>
        <v>641731.99485750997</v>
      </c>
      <c r="J9" s="22">
        <v>641731.99485750997</v>
      </c>
      <c r="K9" s="22">
        <v>0</v>
      </c>
      <c r="L9" s="23">
        <f t="shared" si="2"/>
        <v>641731.99485750997</v>
      </c>
      <c r="M9" s="22">
        <v>641731.99485750997</v>
      </c>
      <c r="N9" s="22">
        <v>0</v>
      </c>
      <c r="O9" s="23">
        <f t="shared" si="3"/>
        <v>641731.99485750997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6163.2062944439622</v>
      </c>
      <c r="E11" s="22">
        <v>0</v>
      </c>
      <c r="F11" s="23">
        <f t="shared" si="0"/>
        <v>6163.2062944439622</v>
      </c>
      <c r="G11" s="22">
        <v>6163.2062944439622</v>
      </c>
      <c r="H11" s="22">
        <v>0</v>
      </c>
      <c r="I11" s="23">
        <f t="shared" si="1"/>
        <v>6163.2062944439622</v>
      </c>
      <c r="J11" s="22">
        <v>6163.2062944439622</v>
      </c>
      <c r="K11" s="22">
        <v>0</v>
      </c>
      <c r="L11" s="23">
        <f t="shared" si="2"/>
        <v>6163.2062944439622</v>
      </c>
      <c r="M11" s="22">
        <v>6163.2062944439622</v>
      </c>
      <c r="N11" s="22">
        <v>0</v>
      </c>
      <c r="O11" s="23">
        <f t="shared" si="3"/>
        <v>6163.2062944439622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135532.3277863792</v>
      </c>
      <c r="E13" s="22">
        <v>0</v>
      </c>
      <c r="F13" s="23">
        <f t="shared" si="0"/>
        <v>135532.3277863792</v>
      </c>
      <c r="G13" s="22">
        <v>135396.93085552368</v>
      </c>
      <c r="H13" s="22">
        <v>0</v>
      </c>
      <c r="I13" s="23">
        <f t="shared" si="1"/>
        <v>135396.93085552368</v>
      </c>
      <c r="J13" s="22">
        <v>135396.93085552368</v>
      </c>
      <c r="K13" s="22">
        <v>0</v>
      </c>
      <c r="L13" s="23">
        <f>J13+K13</f>
        <v>135396.93085552368</v>
      </c>
      <c r="M13" s="22">
        <v>135396.93085552368</v>
      </c>
      <c r="N13" s="22">
        <v>0</v>
      </c>
      <c r="O13" s="23">
        <f t="shared" si="3"/>
        <v>135396.93085552368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81319.396671827519</v>
      </c>
      <c r="E15" s="22">
        <v>0</v>
      </c>
      <c r="F15" s="23">
        <f t="shared" si="0"/>
        <v>81319.396671827519</v>
      </c>
      <c r="G15" s="22">
        <v>81238.158513314207</v>
      </c>
      <c r="H15" s="22">
        <v>0</v>
      </c>
      <c r="I15" s="23">
        <f t="shared" ref="I15:I16" si="4">G15+H15</f>
        <v>81238.158513314207</v>
      </c>
      <c r="J15" s="22">
        <v>81238.158513314207</v>
      </c>
      <c r="K15" s="22">
        <v>0</v>
      </c>
      <c r="L15" s="23">
        <f t="shared" ref="L15:L16" si="5">J15+K15</f>
        <v>81238.158513314207</v>
      </c>
      <c r="M15" s="22">
        <v>81238.158513314207</v>
      </c>
      <c r="N15" s="22">
        <v>0</v>
      </c>
      <c r="O15" s="23">
        <f t="shared" ref="O15:O16" si="6">M15+N15</f>
        <v>81238.158513314207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1002.0892368608054</v>
      </c>
      <c r="E16" s="22">
        <v>0</v>
      </c>
      <c r="F16" s="23">
        <f t="shared" si="0"/>
        <v>1002.0892368608054</v>
      </c>
      <c r="G16" s="22">
        <v>1001.0881487120935</v>
      </c>
      <c r="H16" s="22">
        <v>0</v>
      </c>
      <c r="I16" s="23">
        <f t="shared" si="4"/>
        <v>1001.0881487120935</v>
      </c>
      <c r="J16" s="22">
        <v>1001.0881487120935</v>
      </c>
      <c r="K16" s="22">
        <v>0</v>
      </c>
      <c r="L16" s="23">
        <f t="shared" si="5"/>
        <v>1001.0881487120935</v>
      </c>
      <c r="M16" s="22">
        <v>1001.0881487120935</v>
      </c>
      <c r="N16" s="22">
        <v>0</v>
      </c>
      <c r="O16" s="23">
        <f t="shared" si="6"/>
        <v>1001.0881487120935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661.37889632813153</v>
      </c>
      <c r="E19" s="22">
        <v>0</v>
      </c>
      <c r="F19" s="23">
        <f t="shared" si="0"/>
        <v>661.37889632813153</v>
      </c>
      <c r="G19" s="22">
        <v>660.71817814998167</v>
      </c>
      <c r="H19" s="22">
        <v>0</v>
      </c>
      <c r="I19" s="23">
        <f t="shared" ref="I19:I20" si="7">G19+H19</f>
        <v>660.71817814998167</v>
      </c>
      <c r="J19" s="22">
        <v>660.71817814998167</v>
      </c>
      <c r="K19" s="22">
        <v>0</v>
      </c>
      <c r="L19" s="23">
        <f t="shared" ref="L19:L20" si="8">J19+K19</f>
        <v>660.71817814998167</v>
      </c>
      <c r="M19" s="32">
        <v>660.71817814998167</v>
      </c>
      <c r="N19" s="33">
        <v>0</v>
      </c>
      <c r="O19" s="23">
        <f t="shared" ref="O19:O20" si="9">M19+N19</f>
        <v>660.71817814998167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130216.1649395267</v>
      </c>
      <c r="E20" s="22">
        <v>0</v>
      </c>
      <c r="F20" s="23">
        <f t="shared" si="0"/>
        <v>130216.1649395267</v>
      </c>
      <c r="G20" s="22">
        <v>112767.2528853734</v>
      </c>
      <c r="H20" s="22">
        <v>0</v>
      </c>
      <c r="I20" s="23">
        <f t="shared" si="7"/>
        <v>112767.2528853734</v>
      </c>
      <c r="J20" s="178">
        <f>127981.94-50000</f>
        <v>77981.94</v>
      </c>
      <c r="K20" s="22">
        <v>0</v>
      </c>
      <c r="L20" s="23">
        <f t="shared" si="8"/>
        <v>77981.94</v>
      </c>
      <c r="M20" s="22">
        <v>44315</v>
      </c>
      <c r="N20" s="22">
        <v>0</v>
      </c>
      <c r="O20" s="23">
        <f t="shared" si="9"/>
        <v>44315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/>
      <c r="F21" s="23">
        <f>E21</f>
        <v>0</v>
      </c>
      <c r="G21" s="34"/>
      <c r="H21" s="22"/>
      <c r="I21" s="23">
        <f>H21</f>
        <v>0</v>
      </c>
      <c r="J21" s="34"/>
      <c r="K21" s="22"/>
      <c r="L21" s="23">
        <f>K21</f>
        <v>0</v>
      </c>
      <c r="M21" s="34"/>
      <c r="N21" s="22"/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1508343.3918407152</v>
      </c>
      <c r="E23" s="38">
        <f>E6+E7+E8+E9+E10+E11+E12-E15-E19+E20+E21</f>
        <v>0</v>
      </c>
      <c r="F23" s="38">
        <f>D23+E23</f>
        <v>1508343.3918407152</v>
      </c>
      <c r="G23" s="38">
        <f>G6+G7+G8+G9+G10+G11+G12-G15-G19+G20+G22</f>
        <v>1544038.5588627446</v>
      </c>
      <c r="H23" s="38">
        <f>H6+H7+H8+H9+H10+H11+H12-H15-H19+H20+H21+H22</f>
        <v>0</v>
      </c>
      <c r="I23" s="38">
        <f>G23+H23</f>
        <v>1544038.5588627446</v>
      </c>
      <c r="J23" s="38">
        <f>J6+J7+J8+J9+J10+J11+J12-J15-J19+J20+J22</f>
        <v>1509253.2459773712</v>
      </c>
      <c r="K23" s="38">
        <f>K6+K7+K8+K9+K10+K11+K12-K15-K19+K20+K21+K22</f>
        <v>0</v>
      </c>
      <c r="L23" s="38">
        <f>J23+K23</f>
        <v>1509253.2459773712</v>
      </c>
      <c r="M23" s="38">
        <f>M6+M7+M8+M9+M10+M11+M12-M15-M19+M20+M22</f>
        <v>1475586.3059773713</v>
      </c>
      <c r="N23" s="38">
        <f>N6+N7+N8+N9+N10+N11+N12-N15-N19+N20+N21+N22</f>
        <v>0</v>
      </c>
      <c r="O23" s="38">
        <f>M23+N23</f>
        <v>1475586.3059773713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326444.15237324225</v>
      </c>
      <c r="E25" s="44">
        <v>0</v>
      </c>
      <c r="F25" s="45">
        <f t="shared" ref="F25:F44" si="13">D25+E25</f>
        <v>326444.15237324225</v>
      </c>
      <c r="G25" s="44">
        <v>341218.0361983006</v>
      </c>
      <c r="H25" s="44">
        <v>0</v>
      </c>
      <c r="I25" s="45">
        <f t="shared" ref="I25:I33" si="14">G25+H25</f>
        <v>341218.0361983006</v>
      </c>
      <c r="J25" s="44">
        <v>341218.0361983006</v>
      </c>
      <c r="K25" s="44">
        <v>0</v>
      </c>
      <c r="L25" s="45">
        <f t="shared" ref="L25:L44" si="15">J25+K25</f>
        <v>341218.0361983006</v>
      </c>
      <c r="M25" s="44">
        <v>341218.0361983006</v>
      </c>
      <c r="N25" s="44">
        <v>0</v>
      </c>
      <c r="O25" s="45">
        <f t="shared" ref="O25:O43" si="16">M25+N25</f>
        <v>341218.0361983006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103639.73262121285</v>
      </c>
      <c r="E26" s="22">
        <v>0</v>
      </c>
      <c r="F26" s="36">
        <f t="shared" si="13"/>
        <v>103639.73262121285</v>
      </c>
      <c r="G26" s="22">
        <v>106675.77646909081</v>
      </c>
      <c r="H26" s="22">
        <v>0</v>
      </c>
      <c r="I26" s="36">
        <f t="shared" si="14"/>
        <v>106675.77646909081</v>
      </c>
      <c r="J26" s="22">
        <v>106675.77646909081</v>
      </c>
      <c r="K26" s="22">
        <v>0</v>
      </c>
      <c r="L26" s="36">
        <f t="shared" si="15"/>
        <v>106675.77646909081</v>
      </c>
      <c r="M26" s="22">
        <v>106675.77646909081</v>
      </c>
      <c r="N26" s="22">
        <v>0</v>
      </c>
      <c r="O26" s="36">
        <f t="shared" si="16"/>
        <v>106675.77646909081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247152.87586619987</v>
      </c>
      <c r="E27" s="47">
        <v>0</v>
      </c>
      <c r="F27" s="48">
        <f t="shared" si="13"/>
        <v>247152.87586619987</v>
      </c>
      <c r="G27" s="47">
        <v>256669.83994355929</v>
      </c>
      <c r="H27" s="47">
        <v>0</v>
      </c>
      <c r="I27" s="48">
        <f t="shared" si="14"/>
        <v>256669.83994355929</v>
      </c>
      <c r="J27" s="47">
        <v>256669.83994355929</v>
      </c>
      <c r="K27" s="47">
        <v>0</v>
      </c>
      <c r="L27" s="48">
        <f t="shared" si="15"/>
        <v>256669.83994355929</v>
      </c>
      <c r="M27" s="47">
        <v>256669.83994355929</v>
      </c>
      <c r="N27" s="47">
        <v>0</v>
      </c>
      <c r="O27" s="48">
        <f t="shared" si="16"/>
        <v>256669.83994355929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29405.800381077494</v>
      </c>
      <c r="E29" s="47">
        <v>0</v>
      </c>
      <c r="F29" s="48">
        <f t="shared" si="13"/>
        <v>29405.800381077494</v>
      </c>
      <c r="G29" s="47">
        <v>29617.056306642789</v>
      </c>
      <c r="H29" s="47">
        <v>0</v>
      </c>
      <c r="I29" s="48">
        <f t="shared" si="14"/>
        <v>29617.056306642789</v>
      </c>
      <c r="J29" s="47">
        <v>29617.056306642789</v>
      </c>
      <c r="K29" s="47">
        <v>0</v>
      </c>
      <c r="L29" s="48">
        <f t="shared" si="15"/>
        <v>29617.056306642789</v>
      </c>
      <c r="M29" s="47">
        <v>29617.056306642789</v>
      </c>
      <c r="N29" s="47">
        <v>0</v>
      </c>
      <c r="O29" s="48">
        <f t="shared" si="16"/>
        <v>29617.056306642789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380198.40886849025</v>
      </c>
      <c r="E30" s="51">
        <f>+E26+E27+E28+E29</f>
        <v>0</v>
      </c>
      <c r="F30" s="52">
        <f t="shared" si="13"/>
        <v>380198.40886849025</v>
      </c>
      <c r="G30" s="51">
        <f>+G26+G27+G28+G29</f>
        <v>392962.67271929287</v>
      </c>
      <c r="H30" s="51">
        <f>+H26+H27+H28+H29</f>
        <v>0</v>
      </c>
      <c r="I30" s="52">
        <f t="shared" si="14"/>
        <v>392962.67271929287</v>
      </c>
      <c r="J30" s="51">
        <f>+J26+J27+J28+J29</f>
        <v>392962.67271929287</v>
      </c>
      <c r="K30" s="51">
        <f>+K26+K27+K28+K29</f>
        <v>0</v>
      </c>
      <c r="L30" s="52">
        <f t="shared" si="15"/>
        <v>392962.67271929287</v>
      </c>
      <c r="M30" s="51">
        <f>+M26+M27+M28+M29</f>
        <v>392962.67271929287</v>
      </c>
      <c r="N30" s="51">
        <f>+N26+N27+N28+N29</f>
        <v>0</v>
      </c>
      <c r="O30" s="52">
        <f t="shared" si="16"/>
        <v>392962.67271929287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227890.88334448222</v>
      </c>
      <c r="E31" s="53">
        <v>0</v>
      </c>
      <c r="F31" s="48">
        <f t="shared" si="13"/>
        <v>227890.88334448222</v>
      </c>
      <c r="G31" s="147">
        <f>VLOOKUP($A$1,REM_ToolEnrico!$B$5:$J$38,4,FALSE)</f>
        <v>203814.15237537591</v>
      </c>
      <c r="H31" s="53">
        <v>0</v>
      </c>
      <c r="I31" s="48">
        <f t="shared" si="14"/>
        <v>203814.15237537591</v>
      </c>
      <c r="J31" s="147">
        <f>VLOOKUP($A$1,REM_ToolEnrico!$B$5:$J$38,6,FALSE)</f>
        <v>201768.83871892927</v>
      </c>
      <c r="K31" s="53">
        <v>0</v>
      </c>
      <c r="L31" s="48">
        <f t="shared" si="15"/>
        <v>201768.83871892927</v>
      </c>
      <c r="M31" s="147">
        <f>VLOOKUP($A$1,REM_ToolEnrico!$B$5:$J$38,8,FALSE)</f>
        <v>193768.16633393225</v>
      </c>
      <c r="N31" s="53">
        <v>0</v>
      </c>
      <c r="O31" s="48">
        <f t="shared" si="16"/>
        <v>193768.16633393225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192771.12887564252</v>
      </c>
      <c r="E32" s="54">
        <f>+E33+E34+E35+E36</f>
        <v>0</v>
      </c>
      <c r="F32" s="48">
        <f t="shared" si="13"/>
        <v>192771.12887564252</v>
      </c>
      <c r="G32" s="54">
        <f>+G33+G34+G35+G36</f>
        <v>192578.55032531722</v>
      </c>
      <c r="H32" s="54">
        <f>+H33+H34+H35+H36</f>
        <v>0</v>
      </c>
      <c r="I32" s="48">
        <f t="shared" si="14"/>
        <v>192578.55032531722</v>
      </c>
      <c r="J32" s="54">
        <f>+J33+J34+J35+J36</f>
        <v>192578.55032531722</v>
      </c>
      <c r="K32" s="54">
        <f>+K33+K34+K35+K36</f>
        <v>0</v>
      </c>
      <c r="L32" s="48">
        <f t="shared" si="15"/>
        <v>192578.55032531722</v>
      </c>
      <c r="M32" s="54">
        <f>+M33+M34+M35+M36</f>
        <v>192578.55032531722</v>
      </c>
      <c r="N32" s="54">
        <f>+N33+N34+N35+N36</f>
        <v>0</v>
      </c>
      <c r="O32" s="48">
        <f t="shared" si="16"/>
        <v>192578.55032531722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192771.12887564252</v>
      </c>
      <c r="E34" s="47">
        <v>0</v>
      </c>
      <c r="F34" s="48">
        <f>D34+E34</f>
        <v>192771.12887564252</v>
      </c>
      <c r="G34" s="47">
        <v>192578.55032531722</v>
      </c>
      <c r="H34" s="47">
        <v>0</v>
      </c>
      <c r="I34" s="48">
        <f>G34+H34</f>
        <v>192578.55032531722</v>
      </c>
      <c r="J34" s="47">
        <v>192578.55032531722</v>
      </c>
      <c r="K34" s="158">
        <v>0</v>
      </c>
      <c r="L34" s="48">
        <f t="shared" si="15"/>
        <v>192578.55032531722</v>
      </c>
      <c r="M34" s="47">
        <v>192578.55032531722</v>
      </c>
      <c r="N34" s="158">
        <v>0</v>
      </c>
      <c r="O34" s="48">
        <f t="shared" si="16"/>
        <v>192578.55032531722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128302.24993882736</v>
      </c>
      <c r="E37" s="47">
        <v>0</v>
      </c>
      <c r="F37" s="48">
        <f t="shared" si="13"/>
        <v>128302.24993882736</v>
      </c>
      <c r="G37" s="147">
        <f>VLOOKUP($A$1,REM_ToolEnrico!$B$5:$J$38,5,FALSE)</f>
        <v>123397.08837085152</v>
      </c>
      <c r="H37" s="47">
        <v>0</v>
      </c>
      <c r="I37" s="48">
        <f t="shared" si="17"/>
        <v>123397.08837085152</v>
      </c>
      <c r="J37" s="147">
        <f>VLOOKUP($A$1,REM_ToolEnrico!$B$5:$J$38,7,FALSE)</f>
        <v>114999.72913719073</v>
      </c>
      <c r="K37" s="47">
        <v>0</v>
      </c>
      <c r="L37" s="48">
        <f t="shared" si="15"/>
        <v>114999.72913719073</v>
      </c>
      <c r="M37" s="147">
        <f>VLOOKUP($A$1,REM_ToolEnrico!$B$5:$J$38,9,FALSE)</f>
        <v>105940.48133578942</v>
      </c>
      <c r="N37" s="47">
        <v>0</v>
      </c>
      <c r="O37" s="48">
        <f t="shared" si="16"/>
        <v>105940.48133578942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1049.3458259479157</v>
      </c>
      <c r="E38" s="47">
        <v>0</v>
      </c>
      <c r="F38" s="48">
        <f t="shared" si="13"/>
        <v>1049.3458259479157</v>
      </c>
      <c r="G38" s="47">
        <v>1051.4445175998117</v>
      </c>
      <c r="H38" s="47">
        <v>0</v>
      </c>
      <c r="I38" s="48">
        <f t="shared" si="17"/>
        <v>1051.4445175998117</v>
      </c>
      <c r="J38" s="47">
        <v>1051.4445175998117</v>
      </c>
      <c r="K38" s="47">
        <v>0</v>
      </c>
      <c r="L38" s="48">
        <f t="shared" si="15"/>
        <v>1051.4445175998117</v>
      </c>
      <c r="M38" s="47">
        <v>1051.4445175998117</v>
      </c>
      <c r="N38" s="47">
        <v>0</v>
      </c>
      <c r="O38" s="48">
        <f t="shared" si="16"/>
        <v>1051.4445175998117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550013.60798490001</v>
      </c>
      <c r="E40" s="51">
        <f>E38+E37+E32+E31+E39</f>
        <v>0</v>
      </c>
      <c r="F40" s="52">
        <f t="shared" si="13"/>
        <v>550013.60798490001</v>
      </c>
      <c r="G40" s="51">
        <f>G38+G37+G32+G31+G39</f>
        <v>520841.23558914446</v>
      </c>
      <c r="H40" s="51">
        <f>H38+H37+H32+H31+H39</f>
        <v>0</v>
      </c>
      <c r="I40" s="52">
        <f t="shared" si="17"/>
        <v>520841.23558914446</v>
      </c>
      <c r="J40" s="51">
        <f>J38+J37+J32+J31+J39</f>
        <v>510398.56269903702</v>
      </c>
      <c r="K40" s="51">
        <f>K38+K37+K32+K31+K39</f>
        <v>0</v>
      </c>
      <c r="L40" s="52">
        <f t="shared" si="15"/>
        <v>510398.56269903702</v>
      </c>
      <c r="M40" s="51">
        <f>M38+M37+M32+M31+M39</f>
        <v>493338.6425126387</v>
      </c>
      <c r="N40" s="51">
        <f>N38+N37+N32+N31+N39</f>
        <v>0</v>
      </c>
      <c r="O40" s="52">
        <f t="shared" si="16"/>
        <v>493338.6425126387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10222.704840384386</v>
      </c>
      <c r="E42" s="22">
        <v>0</v>
      </c>
      <c r="F42" s="36">
        <f t="shared" si="13"/>
        <v>10222.704840384386</v>
      </c>
      <c r="G42" s="22">
        <v>19262.074072235526</v>
      </c>
      <c r="H42" s="22">
        <v>0</v>
      </c>
      <c r="I42" s="36">
        <f t="shared" si="17"/>
        <v>19262.074072235526</v>
      </c>
      <c r="J42" s="22">
        <v>19262.074072235526</v>
      </c>
      <c r="K42" s="22">
        <v>0</v>
      </c>
      <c r="L42" s="36">
        <f t="shared" si="15"/>
        <v>19262.074072235526</v>
      </c>
      <c r="M42" s="22">
        <v>19262.074072235526</v>
      </c>
      <c r="N42" s="22">
        <v>0</v>
      </c>
      <c r="O42" s="36">
        <f t="shared" si="16"/>
        <v>19262.074072235526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0</v>
      </c>
      <c r="F44" s="36">
        <f t="shared" si="13"/>
        <v>0</v>
      </c>
      <c r="G44" s="57">
        <v>72554.065923293354</v>
      </c>
      <c r="H44" s="57">
        <v>0</v>
      </c>
      <c r="I44" s="36">
        <f t="shared" si="17"/>
        <v>72554.065923293354</v>
      </c>
      <c r="J44" s="178">
        <f>25722.57875+50000</f>
        <v>75722.578750000001</v>
      </c>
      <c r="K44" s="57">
        <v>0</v>
      </c>
      <c r="L44" s="36">
        <f t="shared" si="15"/>
        <v>75722.578750000001</v>
      </c>
      <c r="M44" s="57">
        <v>44315</v>
      </c>
      <c r="N44" s="57">
        <v>0</v>
      </c>
      <c r="O44" s="36">
        <f>M44+N44</f>
        <v>44315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1266878.8740670169</v>
      </c>
      <c r="E47" s="59">
        <f>E25+E30+E40+E41+E42+E43+E44+E45</f>
        <v>0</v>
      </c>
      <c r="F47" s="60">
        <f>D47+E47</f>
        <v>1266878.8740670169</v>
      </c>
      <c r="G47" s="59">
        <f>G25+G30+G40+G41+G42+G43+G44+G46</f>
        <v>1346838.0845022667</v>
      </c>
      <c r="H47" s="59">
        <f>H25+H30+H40+H41+H42+H43+H44+H45+H46</f>
        <v>0</v>
      </c>
      <c r="I47" s="60">
        <f>G47+H47</f>
        <v>1346838.0845022667</v>
      </c>
      <c r="J47" s="59">
        <f>J25+J30+J40+J41+J42+J43+J44+J46</f>
        <v>1339563.9244388661</v>
      </c>
      <c r="K47" s="59">
        <f>K25+K30+K40+K41+K42+K43+K44+K45+K46</f>
        <v>0</v>
      </c>
      <c r="L47" s="60">
        <f>J47+K47</f>
        <v>1339563.9244388661</v>
      </c>
      <c r="M47" s="59">
        <f>M25+M30+M40+M41+M42+M43+M44+M46</f>
        <v>1291096.4255024677</v>
      </c>
      <c r="N47" s="59">
        <f>N25+N30+N40+N41+N42+N43+N44+N45+N46</f>
        <v>0</v>
      </c>
      <c r="O47" s="60">
        <f>M47+N47</f>
        <v>1291096.4255024677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2777510.8016985469</v>
      </c>
      <c r="E49" s="65">
        <v>0</v>
      </c>
      <c r="F49" s="65">
        <f>D49+E49</f>
        <v>2777510.8016985469</v>
      </c>
      <c r="G49" s="65">
        <f>G50</f>
        <v>2890876.6433650116</v>
      </c>
      <c r="H49" s="65">
        <v>0</v>
      </c>
      <c r="I49" s="65">
        <f t="shared" ref="I49" si="21">G49+H49</f>
        <v>2890876.6433650116</v>
      </c>
      <c r="J49" s="65">
        <f>J50</f>
        <v>2848817.1704162373</v>
      </c>
      <c r="K49" s="65">
        <v>0</v>
      </c>
      <c r="L49" s="65">
        <f t="shared" ref="L49" si="22">J49+K49</f>
        <v>2848817.1704162373</v>
      </c>
      <c r="M49" s="65">
        <f>M50</f>
        <v>2766682.731479839</v>
      </c>
      <c r="N49" s="65">
        <v>0</v>
      </c>
      <c r="O49" s="65">
        <f t="shared" ref="O49" si="23">M49+N49</f>
        <v>2766682.731479839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2775222.2659077318</v>
      </c>
      <c r="E50" s="59">
        <f t="shared" si="24"/>
        <v>0</v>
      </c>
      <c r="F50" s="59">
        <f t="shared" si="24"/>
        <v>2775222.2659077318</v>
      </c>
      <c r="G50" s="59">
        <f>+G23+G47</f>
        <v>2890876.6433650116</v>
      </c>
      <c r="H50" s="59">
        <f t="shared" si="24"/>
        <v>0</v>
      </c>
      <c r="I50" s="59">
        <f t="shared" si="24"/>
        <v>2890876.6433650116</v>
      </c>
      <c r="J50" s="59">
        <f t="shared" si="24"/>
        <v>2848817.1704162373</v>
      </c>
      <c r="K50" s="59">
        <f>+K23+K47</f>
        <v>0</v>
      </c>
      <c r="L50" s="59">
        <f t="shared" si="24"/>
        <v>2848817.1704162373</v>
      </c>
      <c r="M50" s="59">
        <f>+M23+M47</f>
        <v>2766682.731479839</v>
      </c>
      <c r="N50" s="59">
        <f t="shared" si="24"/>
        <v>0</v>
      </c>
      <c r="O50" s="59">
        <f t="shared" si="24"/>
        <v>2766682.731479839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130216.1649395267</v>
      </c>
      <c r="E51" s="68"/>
      <c r="F51" s="146"/>
      <c r="G51" s="68">
        <f>G44+G20</f>
        <v>185321.31880866675</v>
      </c>
      <c r="H51" s="68"/>
      <c r="I51" s="146"/>
      <c r="J51" s="68">
        <f>J44+J20</f>
        <v>153704.51874999999</v>
      </c>
      <c r="K51" s="68"/>
      <c r="L51" s="146"/>
      <c r="M51" s="68">
        <f>M44+M20</f>
        <v>88630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0.78349999999999986</v>
      </c>
      <c r="G53" s="72"/>
      <c r="H53" s="73"/>
      <c r="I53" s="74">
        <v>0.78349999999999986</v>
      </c>
      <c r="J53" s="72"/>
      <c r="K53" s="73"/>
      <c r="L53" s="74">
        <v>0.78349999999999986</v>
      </c>
      <c r="M53" s="72"/>
      <c r="N53" s="73"/>
      <c r="O53" s="74">
        <v>0.78349999999999986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6716.89</v>
      </c>
      <c r="G54" s="34"/>
      <c r="H54" s="76"/>
      <c r="I54" s="77">
        <v>6716.89</v>
      </c>
      <c r="J54" s="34"/>
      <c r="K54" s="76"/>
      <c r="L54" s="77">
        <v>6716.89</v>
      </c>
      <c r="M54" s="34"/>
      <c r="N54" s="76"/>
      <c r="O54" s="77">
        <v>6716.89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44.40102310882726</v>
      </c>
      <c r="G55" s="34"/>
      <c r="H55" s="76"/>
      <c r="I55" s="78">
        <v>41.157816913184512</v>
      </c>
      <c r="J55" s="34"/>
      <c r="K55" s="76"/>
      <c r="L55" s="78">
        <v>41.15891082754095</v>
      </c>
      <c r="M55" s="34"/>
      <c r="N55" s="76"/>
      <c r="O55" s="78">
        <v>42.82835738802607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29.679635710221255</v>
      </c>
      <c r="G56" s="81"/>
      <c r="H56" s="82"/>
      <c r="I56" s="78">
        <v>29.679635710221255</v>
      </c>
      <c r="J56" s="81"/>
      <c r="K56" s="82"/>
      <c r="L56" s="78">
        <v>29.679635710221255</v>
      </c>
      <c r="M56" s="81"/>
      <c r="N56" s="82"/>
      <c r="O56" s="78">
        <v>29.679635710221255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-8.500000000000052E-2</v>
      </c>
      <c r="G59" s="87"/>
      <c r="H59" s="73"/>
      <c r="I59" s="86">
        <v>-8.500000000000052E-2</v>
      </c>
      <c r="J59" s="72"/>
      <c r="K59" s="73"/>
      <c r="L59" s="88">
        <v>-8.500000000000052E-2</v>
      </c>
      <c r="M59" s="72"/>
      <c r="N59" s="73"/>
      <c r="O59" s="88">
        <v>-8.500000000000052E-2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-5.8771421799857004E-2</v>
      </c>
      <c r="G60" s="90"/>
      <c r="H60" s="76"/>
      <c r="I60" s="89">
        <v>-5.8771421799857004E-2</v>
      </c>
      <c r="J60" s="34"/>
      <c r="K60" s="91"/>
      <c r="L60" s="89">
        <v>-5.8771421799857004E-2</v>
      </c>
      <c r="M60" s="34"/>
      <c r="N60" s="76"/>
      <c r="O60" s="89">
        <v>-5.8771421799857004E-2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-0.14377142179985752</v>
      </c>
      <c r="G61" s="90"/>
      <c r="H61" s="76"/>
      <c r="I61" s="92">
        <v>-0.14377142179985752</v>
      </c>
      <c r="J61" s="34"/>
      <c r="K61" s="76"/>
      <c r="L61" s="93">
        <v>-0.14377142179985752</v>
      </c>
      <c r="M61" s="34"/>
      <c r="N61" s="76"/>
      <c r="O61" s="92">
        <v>-0.14377142179985752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0.85622857820014242</v>
      </c>
      <c r="G62" s="95"/>
      <c r="H62" s="82"/>
      <c r="I62" s="94">
        <v>0.85622857820014242</v>
      </c>
      <c r="J62" s="81"/>
      <c r="K62" s="82"/>
      <c r="L62" s="94">
        <v>0.85622857820014242</v>
      </c>
      <c r="M62" s="81"/>
      <c r="N62" s="82"/>
      <c r="O62" s="94">
        <v>0.85622857820014242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2775222.2659077318</v>
      </c>
      <c r="G72" s="34"/>
      <c r="H72" s="76"/>
      <c r="I72" s="108">
        <f>I50</f>
        <v>2890876.6433650116</v>
      </c>
      <c r="J72" s="34"/>
      <c r="K72" s="76"/>
      <c r="L72" s="108">
        <f>L50</f>
        <v>2848817.1704162373</v>
      </c>
      <c r="M72" s="34"/>
      <c r="N72" s="76"/>
      <c r="O72" s="108">
        <f>O50</f>
        <v>2766682.731479839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1797938.3335189149</v>
      </c>
      <c r="G73" s="34"/>
      <c r="H73" s="76"/>
      <c r="I73" s="110">
        <f>F81</f>
        <v>1508343.3918407152</v>
      </c>
      <c r="J73" s="34"/>
      <c r="K73" s="76"/>
      <c r="L73" s="110">
        <f>I81</f>
        <v>1544038.5588627446</v>
      </c>
      <c r="M73" s="34"/>
      <c r="N73" s="76"/>
      <c r="O73" s="110">
        <f>L81</f>
        <v>1509253.2459773712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966586.95494108426</v>
      </c>
      <c r="G74" s="34"/>
      <c r="H74" s="76"/>
      <c r="I74" s="110">
        <f>F82</f>
        <v>1266878.8740670166</v>
      </c>
      <c r="J74" s="34"/>
      <c r="K74" s="76"/>
      <c r="L74" s="110">
        <f>I82</f>
        <v>1346838.084502267</v>
      </c>
      <c r="M74" s="34"/>
      <c r="N74" s="76"/>
      <c r="O74" s="110">
        <f>L82</f>
        <v>1339563.9244388661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2764525.288459999</v>
      </c>
      <c r="G75" s="34"/>
      <c r="H75" s="76"/>
      <c r="I75" s="111">
        <f>SUM(I73:I74)</f>
        <v>2775222.2659077318</v>
      </c>
      <c r="J75" s="34"/>
      <c r="K75" s="76"/>
      <c r="L75" s="111">
        <f>SUM(L73:L74)</f>
        <v>2890876.6433650116</v>
      </c>
      <c r="M75" s="34"/>
      <c r="N75" s="76"/>
      <c r="O75" s="111">
        <f>SUM(O73:O74)</f>
        <v>2848817.1704162373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1.0038693722543923</v>
      </c>
      <c r="G76" s="81"/>
      <c r="H76" s="82"/>
      <c r="I76" s="112">
        <f>I72/I75</f>
        <v>1.0416739152312369</v>
      </c>
      <c r="J76" s="81"/>
      <c r="K76" s="82"/>
      <c r="L76" s="112">
        <f>L72/L75</f>
        <v>0.98545096241124408</v>
      </c>
      <c r="M76" s="81"/>
      <c r="N76" s="82"/>
      <c r="O76" s="112">
        <f>O72/O75</f>
        <v>0.97116893292088735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2775222.2659077318</v>
      </c>
      <c r="G78" s="73"/>
      <c r="H78" s="73"/>
      <c r="I78" s="115">
        <f>IF(I72&lt;=I75*I71,I72,I75*I71)</f>
        <v>2890876.6433650116</v>
      </c>
      <c r="J78" s="73"/>
      <c r="K78" s="73"/>
      <c r="L78" s="115">
        <f>IF(L72&lt;=L75*L71,L72,L75*L71)</f>
        <v>2848817.1704162373</v>
      </c>
      <c r="M78" s="73"/>
      <c r="N78" s="73"/>
      <c r="O78" s="115">
        <f>IF(O72&lt;=O75*O71,O72,O75*O71)</f>
        <v>2766682.731479839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1508343.3918407152</v>
      </c>
      <c r="E81" s="120">
        <f>E23</f>
        <v>0</v>
      </c>
      <c r="F81" s="115">
        <f>D81+E81</f>
        <v>1508343.3918407152</v>
      </c>
      <c r="G81" s="119">
        <f>G23-I79</f>
        <v>1544038.5588627446</v>
      </c>
      <c r="H81" s="120">
        <f>H23</f>
        <v>0</v>
      </c>
      <c r="I81" s="115">
        <f>G81+H81</f>
        <v>1544038.5588627446</v>
      </c>
      <c r="J81" s="119">
        <f>J23-L79</f>
        <v>1509253.2459773712</v>
      </c>
      <c r="K81" s="120">
        <f>K23</f>
        <v>0</v>
      </c>
      <c r="L81" s="115">
        <f>J81+K81</f>
        <v>1509253.2459773712</v>
      </c>
      <c r="M81" s="119">
        <f>M23-O79</f>
        <v>1475586.3059773713</v>
      </c>
      <c r="N81" s="120">
        <f>N23</f>
        <v>0</v>
      </c>
      <c r="O81" s="115">
        <f>M81+N81</f>
        <v>1475586.3059773713</v>
      </c>
    </row>
    <row r="82" spans="1:52" s="14" customFormat="1" ht="20" customHeight="1" thickBot="1">
      <c r="B82" s="118" t="s">
        <v>72</v>
      </c>
      <c r="D82" s="121">
        <f>D50-D81-F79</f>
        <v>1266878.8740670166</v>
      </c>
      <c r="E82" s="122">
        <f>E50-E81</f>
        <v>0</v>
      </c>
      <c r="F82" s="123">
        <f>D82+E82</f>
        <v>1266878.8740670166</v>
      </c>
      <c r="G82" s="121">
        <f>G49-G81-I79</f>
        <v>1346838.084502267</v>
      </c>
      <c r="H82" s="122">
        <f>H50-H81</f>
        <v>0</v>
      </c>
      <c r="I82" s="123">
        <f>G82+H82</f>
        <v>1346838.084502267</v>
      </c>
      <c r="J82" s="121">
        <f>J50-J81-L79</f>
        <v>1339563.9244388661</v>
      </c>
      <c r="K82" s="122">
        <f>K50-K81</f>
        <v>0</v>
      </c>
      <c r="L82" s="123">
        <f>J82+K82</f>
        <v>1339563.9244388661</v>
      </c>
      <c r="M82" s="121">
        <f>M49-M81-O79</f>
        <v>1291096.4255024677</v>
      </c>
      <c r="N82" s="122">
        <f>N50-N81</f>
        <v>0</v>
      </c>
      <c r="O82" s="123">
        <f>M82+N82</f>
        <v>1291096.4255024677</v>
      </c>
    </row>
    <row r="83" spans="1:52" s="124" customFormat="1" ht="17.25" customHeight="1" thickBot="1">
      <c r="B83" s="125" t="s">
        <v>73</v>
      </c>
      <c r="C83" s="14"/>
      <c r="D83" s="126">
        <f>SUM(D81:D82)</f>
        <v>2775222.2659077318</v>
      </c>
      <c r="E83" s="127">
        <f t="shared" ref="E83:O83" si="25">SUM(E81:E82)</f>
        <v>0</v>
      </c>
      <c r="F83" s="128">
        <f t="shared" si="25"/>
        <v>2775222.2659077318</v>
      </c>
      <c r="G83" s="126">
        <f t="shared" si="25"/>
        <v>2890876.6433650116</v>
      </c>
      <c r="H83" s="127">
        <f t="shared" si="25"/>
        <v>0</v>
      </c>
      <c r="I83" s="128">
        <f t="shared" si="25"/>
        <v>2890876.6433650116</v>
      </c>
      <c r="J83" s="126">
        <f t="shared" si="25"/>
        <v>2848817.1704162373</v>
      </c>
      <c r="K83" s="127">
        <f t="shared" si="25"/>
        <v>0</v>
      </c>
      <c r="L83" s="128">
        <f t="shared" si="25"/>
        <v>2848817.1704162373</v>
      </c>
      <c r="M83" s="126">
        <f t="shared" si="25"/>
        <v>2766682.731479839</v>
      </c>
      <c r="N83" s="127">
        <f t="shared" si="25"/>
        <v>0</v>
      </c>
      <c r="O83" s="128">
        <f t="shared" si="25"/>
        <v>2766682.731479839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1508343.3918407152</v>
      </c>
      <c r="G88" s="72"/>
      <c r="H88" s="73"/>
      <c r="I88" s="136">
        <f>I81-I85</f>
        <v>1544038.5588627446</v>
      </c>
      <c r="J88" s="72"/>
      <c r="K88" s="73"/>
      <c r="L88" s="136">
        <f>L81-L85</f>
        <v>1509253.2459773712</v>
      </c>
      <c r="M88" s="72"/>
      <c r="N88" s="73"/>
      <c r="O88" s="136">
        <f>O81-O85</f>
        <v>1475586.3059773713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1266878.8740670166</v>
      </c>
      <c r="G89" s="34"/>
      <c r="H89" s="76"/>
      <c r="I89" s="138">
        <f>I82-I86</f>
        <v>1346838.084502267</v>
      </c>
      <c r="J89" s="34"/>
      <c r="K89" s="76"/>
      <c r="L89" s="138">
        <f>L82-L86</f>
        <v>1339563.9244388661</v>
      </c>
      <c r="M89" s="34"/>
      <c r="N89" s="76"/>
      <c r="O89" s="138">
        <f>O82-O86</f>
        <v>1291096.4255024677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2775222.2659077318</v>
      </c>
      <c r="G90" s="81"/>
      <c r="H90" s="82"/>
      <c r="I90" s="139">
        <f>+I88+I89</f>
        <v>2890876.6433650116</v>
      </c>
      <c r="J90" s="81"/>
      <c r="K90" s="82"/>
      <c r="L90" s="139">
        <f>+L88+L89</f>
        <v>2848817.1704162373</v>
      </c>
      <c r="M90" s="81"/>
      <c r="N90" s="82"/>
      <c r="O90" s="139">
        <f>+O88+O89</f>
        <v>2766682.731479839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-497.05817971978831</v>
      </c>
      <c r="E92" s="143">
        <v>0</v>
      </c>
      <c r="F92" s="144">
        <f>D92+E92</f>
        <v>-497.05817971978831</v>
      </c>
      <c r="G92" s="142">
        <v>-23563.474932222671</v>
      </c>
      <c r="H92" s="143">
        <v>0</v>
      </c>
      <c r="I92" s="144">
        <f>G92+H92</f>
        <v>-23563.474932222671</v>
      </c>
      <c r="J92" s="142">
        <v>-23563.474932222671</v>
      </c>
      <c r="K92" s="143">
        <v>0</v>
      </c>
      <c r="L92" s="144">
        <f>J92+K92</f>
        <v>-23563.474932222671</v>
      </c>
      <c r="M92" s="142">
        <v>-23563.474932222671</v>
      </c>
      <c r="N92" s="143">
        <v>0</v>
      </c>
      <c r="O92" s="144">
        <f>M92+N92</f>
        <v>-23563.474932222671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2726986.8765363609</v>
      </c>
      <c r="E96" s="166">
        <f>E6+E7+E8+E9+E11+E25+E30+E40+E42+E21+E45</f>
        <v>0</v>
      </c>
      <c r="F96" s="166">
        <f t="shared" ref="F96" si="26">F6+F7+F8+F9+F11+F25+F30+F40+F42</f>
        <v>2726986.8765363609</v>
      </c>
      <c r="G96" s="166">
        <f t="shared" ref="G96" si="27">G6+G7+G8+G9+G11+G25+G30+G40+G42+G21+G45</f>
        <v>2787454.201247809</v>
      </c>
      <c r="H96" s="166">
        <f t="shared" ref="H96" si="28">H6+H7+H8+H9+H11+H25+H30+H40+H42</f>
        <v>0</v>
      </c>
      <c r="I96" s="166">
        <f t="shared" ref="I96" si="29">I6+I7+I8+I9+I11+I25+I30+I40+I42+I21+I45</f>
        <v>2787454.201247809</v>
      </c>
      <c r="J96" s="166">
        <f t="shared" ref="J96" si="30">J6+J7+J8+J9+J11+J25+J30+J40+J42</f>
        <v>2777011.5283577018</v>
      </c>
      <c r="K96" s="166">
        <f t="shared" ref="K96" si="31">K6+K7+K8+K9+K11+K25+K30+K40+K42+K21+K45</f>
        <v>0</v>
      </c>
      <c r="L96" s="166">
        <f t="shared" ref="L96" si="32">L6+L7+L8+L9+L11+L25+L30+L40+L42</f>
        <v>2777011.5283577018</v>
      </c>
      <c r="M96" s="166">
        <f t="shared" ref="M96" si="33">M6+M7+M8+M9+M11+M25+M30+M40+M42+M21+M45</f>
        <v>2759951.6081713033</v>
      </c>
      <c r="N96" s="166">
        <f t="shared" ref="N96" si="34">N6+N7+N8+N9+N11+N25+N30+N40+N42</f>
        <v>0</v>
      </c>
      <c r="O96" s="166">
        <f t="shared" ref="O96" si="35">O6+O7+O8+O9+O11+O25+O30+O40+O42+O21+O45</f>
        <v>2759951.6081713033</v>
      </c>
    </row>
    <row r="97" spans="4:15" s="14" customFormat="1">
      <c r="D97" s="166">
        <f>D96-D15-D19</f>
        <v>2645006.1009682054</v>
      </c>
      <c r="E97" s="166">
        <f>E96-E15-E19</f>
        <v>0</v>
      </c>
      <c r="F97" s="166">
        <f t="shared" ref="F97:O97" si="36">F96-F15-F19</f>
        <v>2645006.1009682054</v>
      </c>
      <c r="G97" s="166">
        <f t="shared" si="36"/>
        <v>2705555.3245563451</v>
      </c>
      <c r="H97" s="166">
        <f t="shared" si="36"/>
        <v>0</v>
      </c>
      <c r="I97" s="166">
        <f t="shared" si="36"/>
        <v>2705555.3245563451</v>
      </c>
      <c r="J97" s="166">
        <f t="shared" si="36"/>
        <v>2695112.651666238</v>
      </c>
      <c r="K97" s="166">
        <f t="shared" si="36"/>
        <v>0</v>
      </c>
      <c r="L97" s="166">
        <f t="shared" si="36"/>
        <v>2695112.651666238</v>
      </c>
      <c r="M97" s="166">
        <f t="shared" si="36"/>
        <v>2678052.7314798394</v>
      </c>
      <c r="N97" s="166">
        <f t="shared" si="36"/>
        <v>0</v>
      </c>
      <c r="O97" s="166">
        <f t="shared" si="36"/>
        <v>2678052.7314798394</v>
      </c>
    </row>
    <row r="98" spans="4:15" s="14" customFormat="1">
      <c r="D98" s="166">
        <f>D20+D44</f>
        <v>130216.1649395267</v>
      </c>
      <c r="E98" s="166">
        <f>E20+E44</f>
        <v>0</v>
      </c>
      <c r="F98" s="166">
        <f t="shared" ref="F98:O98" si="37">F20+F44</f>
        <v>130216.1649395267</v>
      </c>
      <c r="G98" s="166">
        <f t="shared" si="37"/>
        <v>185321.31880866675</v>
      </c>
      <c r="H98" s="166">
        <f t="shared" si="37"/>
        <v>0</v>
      </c>
      <c r="I98" s="166">
        <f t="shared" si="37"/>
        <v>185321.31880866675</v>
      </c>
      <c r="J98" s="166">
        <f t="shared" si="37"/>
        <v>153704.51874999999</v>
      </c>
      <c r="K98" s="166">
        <f t="shared" si="37"/>
        <v>0</v>
      </c>
      <c r="L98" s="166">
        <f t="shared" si="37"/>
        <v>153704.51874999999</v>
      </c>
      <c r="M98" s="166">
        <f t="shared" si="37"/>
        <v>88630</v>
      </c>
      <c r="N98" s="166">
        <f t="shared" si="37"/>
        <v>0</v>
      </c>
      <c r="O98" s="166">
        <f t="shared" si="37"/>
        <v>88630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94" priority="7" operator="containsText" text="ERRORE">
      <formula>NOT(ISERROR(SEARCH("ERRORE",F81)))</formula>
    </cfRule>
  </conditionalFormatting>
  <conditionalFormatting sqref="I83">
    <cfRule type="containsText" dxfId="193" priority="6" operator="containsText" text="ERRORE">
      <formula>NOT(ISERROR(SEARCH("ERRORE",I83)))</formula>
    </cfRule>
  </conditionalFormatting>
  <conditionalFormatting sqref="I81:I82">
    <cfRule type="containsText" dxfId="192" priority="5" operator="containsText" text="ERRORE">
      <formula>NOT(ISERROR(SEARCH("ERRORE",I81)))</formula>
    </cfRule>
  </conditionalFormatting>
  <conditionalFormatting sqref="L83">
    <cfRule type="containsText" dxfId="191" priority="4" operator="containsText" text="ERRORE">
      <formula>NOT(ISERROR(SEARCH("ERRORE",L83)))</formula>
    </cfRule>
  </conditionalFormatting>
  <conditionalFormatting sqref="L81:L82">
    <cfRule type="containsText" dxfId="190" priority="3" operator="containsText" text="ERRORE">
      <formula>NOT(ISERROR(SEARCH("ERRORE",L81)))</formula>
    </cfRule>
  </conditionalFormatting>
  <conditionalFormatting sqref="O83">
    <cfRule type="containsText" dxfId="189" priority="2" operator="containsText" text="ERRORE">
      <formula>NOT(ISERROR(SEARCH("ERRORE",O83)))</formula>
    </cfRule>
  </conditionalFormatting>
  <conditionalFormatting sqref="O81:O82">
    <cfRule type="containsText" dxfId="188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C10" zoomScale="70" zoomScaleNormal="70" zoomScalePageLayoutView="70" workbookViewId="0">
      <selection activeCell="J15" sqref="J15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91</v>
      </c>
      <c r="B1" s="2" t="str">
        <f>"       PEF 2022 - 2025"&amp;" - "&amp;A1</f>
        <v xml:space="preserve">       PEF 2022 - 2025 - Eraclea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144</v>
      </c>
      <c r="E4" s="188"/>
      <c r="F4" s="189"/>
      <c r="G4" s="187" t="str">
        <f>D4</f>
        <v>Ambito tariffario: ERACLEA</v>
      </c>
      <c r="H4" s="188"/>
      <c r="I4" s="189"/>
      <c r="J4" s="187" t="str">
        <f>D4</f>
        <v>Ambito tariffario: ERACLEA</v>
      </c>
      <c r="K4" s="188"/>
      <c r="L4" s="189"/>
      <c r="M4" s="187" t="str">
        <f>D4</f>
        <v>Ambito tariffario: ERACLEA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311738.85762768955</v>
      </c>
      <c r="E6" s="22">
        <v>0</v>
      </c>
      <c r="F6" s="23">
        <f>D6+E6</f>
        <v>311738.85762768955</v>
      </c>
      <c r="G6" s="22">
        <v>322479.44608843519</v>
      </c>
      <c r="H6" s="22">
        <v>0</v>
      </c>
      <c r="I6" s="23">
        <f>G6+H6</f>
        <v>322479.44608843519</v>
      </c>
      <c r="J6" s="22">
        <v>322479.44608843519</v>
      </c>
      <c r="K6" s="22">
        <v>0</v>
      </c>
      <c r="L6" s="23">
        <f>J6+K6</f>
        <v>322479.44608843519</v>
      </c>
      <c r="M6" s="22">
        <v>322479.44608843519</v>
      </c>
      <c r="N6" s="22">
        <v>0</v>
      </c>
      <c r="O6" s="23">
        <f>M6+N6</f>
        <v>322479.44608843519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300485.78857543354</v>
      </c>
      <c r="E7" s="22">
        <v>0</v>
      </c>
      <c r="F7" s="23">
        <f t="shared" ref="F7:F20" si="0">D7+E7</f>
        <v>300485.78857543354</v>
      </c>
      <c r="G7" s="22">
        <v>314542.96220436908</v>
      </c>
      <c r="H7" s="22">
        <v>0</v>
      </c>
      <c r="I7" s="23">
        <f t="shared" ref="I7:I13" si="1">G7+H7</f>
        <v>314542.96220436908</v>
      </c>
      <c r="J7" s="22">
        <v>314542.96220436908</v>
      </c>
      <c r="K7" s="22">
        <v>0</v>
      </c>
      <c r="L7" s="23">
        <f t="shared" ref="L7:L12" si="2">J7+K7</f>
        <v>314542.96220436908</v>
      </c>
      <c r="M7" s="22">
        <v>314542.96220436908</v>
      </c>
      <c r="N7" s="22">
        <v>0</v>
      </c>
      <c r="O7" s="23">
        <f t="shared" ref="O7:O13" si="3">M7+N7</f>
        <v>314542.96220436908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251997.21606910756</v>
      </c>
      <c r="E8" s="22">
        <v>0</v>
      </c>
      <c r="F8" s="23">
        <f t="shared" si="0"/>
        <v>251997.21606910756</v>
      </c>
      <c r="G8" s="22">
        <v>263792.20201049163</v>
      </c>
      <c r="H8" s="22">
        <v>0</v>
      </c>
      <c r="I8" s="23">
        <f t="shared" si="1"/>
        <v>263792.20201049163</v>
      </c>
      <c r="J8" s="22">
        <v>263792.20201049163</v>
      </c>
      <c r="K8" s="22">
        <v>0</v>
      </c>
      <c r="L8" s="23">
        <f t="shared" si="2"/>
        <v>263792.20201049163</v>
      </c>
      <c r="M8" s="22">
        <v>263792.20201049163</v>
      </c>
      <c r="N8" s="22">
        <v>0</v>
      </c>
      <c r="O8" s="23">
        <f t="shared" si="3"/>
        <v>263792.20201049163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706868.35368914343</v>
      </c>
      <c r="E9" s="22">
        <v>0</v>
      </c>
      <c r="F9" s="23">
        <f t="shared" si="0"/>
        <v>706868.35368914343</v>
      </c>
      <c r="G9" s="22">
        <v>726833.00159786618</v>
      </c>
      <c r="H9" s="22">
        <v>0</v>
      </c>
      <c r="I9" s="23">
        <f t="shared" si="1"/>
        <v>726833.00159786618</v>
      </c>
      <c r="J9" s="22">
        <v>726833.00159786618</v>
      </c>
      <c r="K9" s="22">
        <v>0</v>
      </c>
      <c r="L9" s="23">
        <f t="shared" si="2"/>
        <v>726833.00159786618</v>
      </c>
      <c r="M9" s="22">
        <v>726833.00159786618</v>
      </c>
      <c r="N9" s="22">
        <v>0</v>
      </c>
      <c r="O9" s="23">
        <f t="shared" si="3"/>
        <v>726833.00159786618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7033.4702590004836</v>
      </c>
      <c r="E11" s="22">
        <v>0</v>
      </c>
      <c r="F11" s="23">
        <f t="shared" si="0"/>
        <v>7033.4702590004836</v>
      </c>
      <c r="G11" s="22">
        <v>7033.4702590004836</v>
      </c>
      <c r="H11" s="22">
        <v>0</v>
      </c>
      <c r="I11" s="23">
        <f t="shared" si="1"/>
        <v>7033.4702590004836</v>
      </c>
      <c r="J11" s="22">
        <v>7033.4702590004836</v>
      </c>
      <c r="K11" s="22">
        <v>0</v>
      </c>
      <c r="L11" s="23">
        <f t="shared" si="2"/>
        <v>7033.4702590004836</v>
      </c>
      <c r="M11" s="22">
        <v>7033.4702590004836</v>
      </c>
      <c r="N11" s="22">
        <v>0</v>
      </c>
      <c r="O11" s="23">
        <f t="shared" si="3"/>
        <v>7033.4702590004836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116856.11711331482</v>
      </c>
      <c r="E13" s="22">
        <v>0</v>
      </c>
      <c r="F13" s="23">
        <f t="shared" si="0"/>
        <v>116856.11711331482</v>
      </c>
      <c r="G13" s="22">
        <v>116739.37773557926</v>
      </c>
      <c r="H13" s="22">
        <v>0</v>
      </c>
      <c r="I13" s="23">
        <f t="shared" si="1"/>
        <v>116739.37773557926</v>
      </c>
      <c r="J13" s="22">
        <v>116739.37773557926</v>
      </c>
      <c r="K13" s="22">
        <v>0</v>
      </c>
      <c r="L13" s="23">
        <f>J13+K13</f>
        <v>116739.37773557926</v>
      </c>
      <c r="M13" s="22">
        <v>116739.37773557926</v>
      </c>
      <c r="N13" s="22">
        <v>0</v>
      </c>
      <c r="O13" s="23">
        <f t="shared" si="3"/>
        <v>116739.37773557926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70113.670267988884</v>
      </c>
      <c r="E15" s="22">
        <v>0</v>
      </c>
      <c r="F15" s="23">
        <f t="shared" si="0"/>
        <v>70113.670267988884</v>
      </c>
      <c r="G15" s="22">
        <v>70043.626641347553</v>
      </c>
      <c r="H15" s="22">
        <v>0</v>
      </c>
      <c r="I15" s="23">
        <f t="shared" ref="I15:I16" si="4">G15+H15</f>
        <v>70043.626641347553</v>
      </c>
      <c r="J15" s="22">
        <v>70043.626641347553</v>
      </c>
      <c r="K15" s="22">
        <v>0</v>
      </c>
      <c r="L15" s="23">
        <f t="shared" ref="L15:L16" si="5">J15+K15</f>
        <v>70043.626641347553</v>
      </c>
      <c r="M15" s="22">
        <v>70043.626641347553</v>
      </c>
      <c r="N15" s="22">
        <v>0</v>
      </c>
      <c r="O15" s="23">
        <f t="shared" ref="O15:O16" si="6">M15+N15</f>
        <v>70043.626641347553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5721.9958409053252</v>
      </c>
      <c r="E16" s="22">
        <v>0</v>
      </c>
      <c r="F16" s="23">
        <f t="shared" si="0"/>
        <v>5721.9958409053252</v>
      </c>
      <c r="G16" s="22">
        <v>5716.2795613439821</v>
      </c>
      <c r="H16" s="22">
        <v>0</v>
      </c>
      <c r="I16" s="23">
        <f t="shared" si="4"/>
        <v>5716.2795613439821</v>
      </c>
      <c r="J16" s="22">
        <v>5716.2795613439821</v>
      </c>
      <c r="K16" s="22">
        <v>0</v>
      </c>
      <c r="L16" s="23">
        <f t="shared" si="5"/>
        <v>5716.2795613439821</v>
      </c>
      <c r="M16" s="22">
        <v>5716.2795613439821</v>
      </c>
      <c r="N16" s="22">
        <v>0</v>
      </c>
      <c r="O16" s="23">
        <f t="shared" si="6"/>
        <v>5716.2795613439821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0.3</v>
      </c>
      <c r="E17" s="29">
        <v>0.3</v>
      </c>
      <c r="F17" s="30">
        <f>D17</f>
        <v>0.3</v>
      </c>
      <c r="G17" s="29">
        <v>0.3</v>
      </c>
      <c r="H17" s="29">
        <v>0.3</v>
      </c>
      <c r="I17" s="30">
        <f>G17</f>
        <v>0.3</v>
      </c>
      <c r="J17" s="29">
        <v>0.3</v>
      </c>
      <c r="K17" s="29">
        <v>0.3</v>
      </c>
      <c r="L17" s="30">
        <v>0.3</v>
      </c>
      <c r="M17" s="29">
        <v>0.3</v>
      </c>
      <c r="N17" s="29">
        <v>0.3</v>
      </c>
      <c r="O17" s="30">
        <f>N17</f>
        <v>0.3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0.78</v>
      </c>
      <c r="E18" s="29">
        <v>0.78</v>
      </c>
      <c r="F18" s="31">
        <f>IF(D18=E18,D18,"n.d.")</f>
        <v>0.78</v>
      </c>
      <c r="G18" s="29">
        <v>0.78</v>
      </c>
      <c r="H18" s="29">
        <v>0.78</v>
      </c>
      <c r="I18" s="31">
        <f>IF(G18=H18,G18,"n.d.")</f>
        <v>0.78</v>
      </c>
      <c r="J18" s="29">
        <v>0.78</v>
      </c>
      <c r="K18" s="29">
        <v>0.78</v>
      </c>
      <c r="L18" s="31">
        <f>IF(J18=K18,J18,"n.d.")</f>
        <v>0.78</v>
      </c>
      <c r="M18" s="29">
        <v>0.78</v>
      </c>
      <c r="N18" s="29">
        <v>0.78</v>
      </c>
      <c r="O18" s="31">
        <f>IF(M18=N18,M18,"n.d.")</f>
        <v>0.78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4463.1567559061541</v>
      </c>
      <c r="E19" s="22">
        <v>0</v>
      </c>
      <c r="F19" s="23">
        <f t="shared" si="0"/>
        <v>4463.1567559061541</v>
      </c>
      <c r="G19" s="22">
        <v>4458.6980578483062</v>
      </c>
      <c r="H19" s="22">
        <v>0</v>
      </c>
      <c r="I19" s="23">
        <f t="shared" ref="I19:I20" si="7">G19+H19</f>
        <v>4458.6980578483062</v>
      </c>
      <c r="J19" s="22">
        <v>4458.6980578483062</v>
      </c>
      <c r="K19" s="22">
        <v>0</v>
      </c>
      <c r="L19" s="23">
        <f t="shared" ref="L19:L20" si="8">J19+K19</f>
        <v>4458.6980578483062</v>
      </c>
      <c r="M19" s="32">
        <v>4458.6980578483062</v>
      </c>
      <c r="N19" s="33">
        <v>0</v>
      </c>
      <c r="O19" s="23">
        <f t="shared" ref="O19:O20" si="9">M19+N19</f>
        <v>4458.6980578483062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22">
        <v>-5727.3946399999995</v>
      </c>
      <c r="F20" s="23">
        <f t="shared" si="0"/>
        <v>-5727.3946399999995</v>
      </c>
      <c r="G20" s="22">
        <v>0</v>
      </c>
      <c r="H20" s="170">
        <v>6991.5350076063842</v>
      </c>
      <c r="I20" s="23">
        <f t="shared" si="7"/>
        <v>6991.5350076063842</v>
      </c>
      <c r="J20" s="22">
        <v>0</v>
      </c>
      <c r="K20" s="170">
        <v>7602.0499999999993</v>
      </c>
      <c r="L20" s="23">
        <f t="shared" si="8"/>
        <v>7602.0499999999993</v>
      </c>
      <c r="M20" s="22">
        <v>0</v>
      </c>
      <c r="N20" s="170">
        <v>16449</v>
      </c>
      <c r="O20" s="23">
        <f t="shared" si="9"/>
        <v>16449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150354.68591964795</v>
      </c>
      <c r="F21" s="23">
        <f>E21</f>
        <v>150354.68591964795</v>
      </c>
      <c r="G21" s="34"/>
      <c r="H21" s="22">
        <f>G23*0.1</f>
        <v>156017.87574609669</v>
      </c>
      <c r="I21" s="23">
        <f>H21</f>
        <v>156017.87574609669</v>
      </c>
      <c r="J21" s="34"/>
      <c r="K21" s="22">
        <f>J23*0.1</f>
        <v>156017.87574609669</v>
      </c>
      <c r="L21" s="23">
        <f>K21</f>
        <v>156017.87574609669</v>
      </c>
      <c r="M21" s="34"/>
      <c r="N21" s="22">
        <f>M23*0.1</f>
        <v>156017.87574609669</v>
      </c>
      <c r="O21" s="23">
        <f>N21</f>
        <v>156017.87574609669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1503546.8591964794</v>
      </c>
      <c r="E23" s="38">
        <f>E6+E7+E8+E9+E10+E11+E12-E15-E19+E20+E21</f>
        <v>144627.29127964794</v>
      </c>
      <c r="F23" s="38">
        <f>D23+E23</f>
        <v>1648174.1504761274</v>
      </c>
      <c r="G23" s="38">
        <f>G6+G7+G8+G9+G10+G11+G12-G15-G19+G20+G22</f>
        <v>1560178.7574609669</v>
      </c>
      <c r="H23" s="38">
        <f>H6+H7+H8+H9+H10+H11+H12-H15-H19+H20+H21+H22</f>
        <v>163009.41075370306</v>
      </c>
      <c r="I23" s="38">
        <f>G23+H23</f>
        <v>1723188.1682146699</v>
      </c>
      <c r="J23" s="38">
        <f>J6+J7+J8+J9+J10+J11+J12-J15-J19+J20+J22</f>
        <v>1560178.7574609669</v>
      </c>
      <c r="K23" s="38">
        <f>K6+K7+K8+K9+K10+K11+K12-K15-K19+K20+K21+K22</f>
        <v>163619.92574609668</v>
      </c>
      <c r="L23" s="38">
        <f>J23+K23</f>
        <v>1723798.6832070637</v>
      </c>
      <c r="M23" s="38">
        <f>M6+M7+M8+M9+M10+M11+M12-M15-M19+M20+M22</f>
        <v>1560178.7574609669</v>
      </c>
      <c r="N23" s="38">
        <f>N6+N7+N8+N9+N10+N11+N12-N15-N19+N20+N21+N22</f>
        <v>172466.87574609669</v>
      </c>
      <c r="O23" s="38">
        <f>M23+N23</f>
        <v>1732645.6332070637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369734.38292756211</v>
      </c>
      <c r="E25" s="44">
        <v>0</v>
      </c>
      <c r="F25" s="45">
        <f t="shared" ref="F25:F44" si="13">D25+E25</f>
        <v>369734.38292756211</v>
      </c>
      <c r="G25" s="44">
        <v>386467.45282570488</v>
      </c>
      <c r="H25" s="44">
        <v>0</v>
      </c>
      <c r="I25" s="45">
        <f t="shared" ref="I25:I33" si="14">G25+H25</f>
        <v>386467.45282570488</v>
      </c>
      <c r="J25" s="44">
        <v>386467.45282570488</v>
      </c>
      <c r="K25" s="44">
        <v>0</v>
      </c>
      <c r="L25" s="45">
        <f t="shared" ref="L25:L44" si="15">J25+K25</f>
        <v>386467.45282570488</v>
      </c>
      <c r="M25" s="44">
        <v>386467.45282570488</v>
      </c>
      <c r="N25" s="44">
        <v>0</v>
      </c>
      <c r="O25" s="45">
        <f t="shared" ref="O25:O43" si="16">M25+N25</f>
        <v>386467.45282570488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99564.21633153611</v>
      </c>
      <c r="E26" s="22">
        <v>0</v>
      </c>
      <c r="F26" s="36">
        <f t="shared" si="13"/>
        <v>99564.21633153611</v>
      </c>
      <c r="G26" s="22">
        <v>102480.87115895582</v>
      </c>
      <c r="H26" s="22">
        <v>0</v>
      </c>
      <c r="I26" s="36">
        <f t="shared" si="14"/>
        <v>102480.87115895582</v>
      </c>
      <c r="J26" s="22">
        <v>102480.87115895582</v>
      </c>
      <c r="K26" s="22">
        <v>0</v>
      </c>
      <c r="L26" s="36">
        <f t="shared" si="15"/>
        <v>102480.87115895582</v>
      </c>
      <c r="M26" s="22">
        <v>102480.87115895582</v>
      </c>
      <c r="N26" s="22">
        <v>0</v>
      </c>
      <c r="O26" s="36">
        <f t="shared" si="16"/>
        <v>102480.87115895582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235900.44827703392</v>
      </c>
      <c r="E27" s="47">
        <v>0</v>
      </c>
      <c r="F27" s="48">
        <f t="shared" si="13"/>
        <v>235900.44827703392</v>
      </c>
      <c r="G27" s="47">
        <v>244984.12203246661</v>
      </c>
      <c r="H27" s="47">
        <v>0</v>
      </c>
      <c r="I27" s="48">
        <f t="shared" si="14"/>
        <v>244984.12203246661</v>
      </c>
      <c r="J27" s="47">
        <v>244984.12203246661</v>
      </c>
      <c r="K27" s="47">
        <v>0</v>
      </c>
      <c r="L27" s="48">
        <f t="shared" si="15"/>
        <v>244984.12203246661</v>
      </c>
      <c r="M27" s="47">
        <v>244984.12203246661</v>
      </c>
      <c r="N27" s="47">
        <v>0</v>
      </c>
      <c r="O27" s="48">
        <f t="shared" si="16"/>
        <v>244984.12203246661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6088.5427642827917</v>
      </c>
      <c r="E29" s="47">
        <v>7613</v>
      </c>
      <c r="F29" s="48">
        <f t="shared" si="13"/>
        <v>13701.542764282793</v>
      </c>
      <c r="G29" s="47">
        <v>6132.2838194604674</v>
      </c>
      <c r="H29" s="47">
        <v>7613</v>
      </c>
      <c r="I29" s="48">
        <f t="shared" si="14"/>
        <v>13745.283819460466</v>
      </c>
      <c r="J29" s="47">
        <v>6132.2838194604674</v>
      </c>
      <c r="K29" s="47">
        <v>7613</v>
      </c>
      <c r="L29" s="48">
        <f t="shared" si="15"/>
        <v>13745.283819460466</v>
      </c>
      <c r="M29" s="47">
        <v>6132.2838194604674</v>
      </c>
      <c r="N29" s="47">
        <v>7613</v>
      </c>
      <c r="O29" s="48">
        <f t="shared" si="16"/>
        <v>13745.283819460466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341553.20737285283</v>
      </c>
      <c r="E30" s="51">
        <f>+E26+E27+E28+E29</f>
        <v>7613</v>
      </c>
      <c r="F30" s="52">
        <f t="shared" si="13"/>
        <v>349166.20737285283</v>
      </c>
      <c r="G30" s="51">
        <f>+G26+G27+G28+G29</f>
        <v>353597.27701088291</v>
      </c>
      <c r="H30" s="51">
        <f>+H26+H27+H28+H29</f>
        <v>7613</v>
      </c>
      <c r="I30" s="52">
        <f t="shared" si="14"/>
        <v>361210.27701088291</v>
      </c>
      <c r="J30" s="51">
        <f>+J26+J27+J28+J29</f>
        <v>353597.27701088291</v>
      </c>
      <c r="K30" s="51">
        <f>+K26+K27+K28+K29</f>
        <v>7613</v>
      </c>
      <c r="L30" s="52">
        <f t="shared" si="15"/>
        <v>361210.27701088291</v>
      </c>
      <c r="M30" s="51">
        <f>+M26+M27+M28+M29</f>
        <v>353597.27701088291</v>
      </c>
      <c r="N30" s="51">
        <f>+N26+N27+N28+N29</f>
        <v>7613</v>
      </c>
      <c r="O30" s="52">
        <f t="shared" si="16"/>
        <v>361210.27701088291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142947.98864985973</v>
      </c>
      <c r="E31" s="53">
        <v>0</v>
      </c>
      <c r="F31" s="48">
        <f t="shared" si="13"/>
        <v>142947.98864985973</v>
      </c>
      <c r="G31" s="147">
        <f>VLOOKUP($A$1,REM_ToolEnrico!$B$5:$J$38,4,FALSE)</f>
        <v>137906.80246166594</v>
      </c>
      <c r="H31" s="53">
        <v>0</v>
      </c>
      <c r="I31" s="48">
        <f t="shared" si="14"/>
        <v>137906.80246166594</v>
      </c>
      <c r="J31" s="147">
        <f>VLOOKUP($A$1,REM_ToolEnrico!$B$5:$J$38,6,FALSE)</f>
        <v>101972.04887652493</v>
      </c>
      <c r="K31" s="53">
        <v>0</v>
      </c>
      <c r="L31" s="48">
        <f t="shared" si="15"/>
        <v>101972.04887652493</v>
      </c>
      <c r="M31" s="147">
        <f>VLOOKUP($A$1,REM_ToolEnrico!$B$5:$J$38,8,FALSE)</f>
        <v>105583.94918828845</v>
      </c>
      <c r="N31" s="53">
        <v>0</v>
      </c>
      <c r="O31" s="48">
        <f t="shared" si="16"/>
        <v>105583.94918828845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117590.951478</v>
      </c>
      <c r="F32" s="48">
        <f t="shared" si="13"/>
        <v>117590.951478</v>
      </c>
      <c r="G32" s="54">
        <f>+G33+G34+G35+G36</f>
        <v>0</v>
      </c>
      <c r="H32" s="54">
        <f>+H33+H34+H35+H36</f>
        <v>109793.478</v>
      </c>
      <c r="I32" s="48">
        <f t="shared" si="14"/>
        <v>109793.478</v>
      </c>
      <c r="J32" s="54">
        <f>+J33+J34+J35+J36</f>
        <v>0</v>
      </c>
      <c r="K32" s="54">
        <f>+K33+K34+K35+K36</f>
        <v>117473.478</v>
      </c>
      <c r="L32" s="48">
        <f t="shared" si="15"/>
        <v>117473.478</v>
      </c>
      <c r="M32" s="54">
        <f>+M33+M34+M35+M36</f>
        <v>0</v>
      </c>
      <c r="N32" s="54">
        <f>+N33+N34+N35+N36</f>
        <v>117473.478</v>
      </c>
      <c r="O32" s="48">
        <f t="shared" si="16"/>
        <v>117473.478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117590.951478</v>
      </c>
      <c r="F34" s="48">
        <f>D34+E34</f>
        <v>117590.951478</v>
      </c>
      <c r="G34" s="47">
        <v>0</v>
      </c>
      <c r="H34" s="47">
        <v>109793.478</v>
      </c>
      <c r="I34" s="48">
        <f>G34+H34</f>
        <v>109793.478</v>
      </c>
      <c r="J34" s="47">
        <v>0</v>
      </c>
      <c r="K34" s="158">
        <v>117473.478</v>
      </c>
      <c r="L34" s="48">
        <f t="shared" si="15"/>
        <v>117473.478</v>
      </c>
      <c r="M34" s="47">
        <v>0</v>
      </c>
      <c r="N34" s="158">
        <v>117473.478</v>
      </c>
      <c r="O34" s="48">
        <f t="shared" si="16"/>
        <v>117473.478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51804.560678630405</v>
      </c>
      <c r="E37" s="47">
        <v>0</v>
      </c>
      <c r="F37" s="48">
        <f t="shared" si="13"/>
        <v>51804.560678630405</v>
      </c>
      <c r="G37" s="147">
        <f>VLOOKUP($A$1,REM_ToolEnrico!$B$5:$J$38,5,FALSE)</f>
        <v>44420.734007430641</v>
      </c>
      <c r="H37" s="47">
        <v>0</v>
      </c>
      <c r="I37" s="48">
        <f t="shared" si="17"/>
        <v>44420.734007430641</v>
      </c>
      <c r="J37" s="147">
        <f>VLOOKUP($A$1,REM_ToolEnrico!$B$5:$J$38,7,FALSE)</f>
        <v>40840.628129135934</v>
      </c>
      <c r="K37" s="47">
        <v>0</v>
      </c>
      <c r="L37" s="48">
        <f t="shared" si="15"/>
        <v>40840.628129135934</v>
      </c>
      <c r="M37" s="147">
        <f>VLOOKUP($A$1,REM_ToolEnrico!$B$5:$J$38,9,FALSE)</f>
        <v>42294.971312386799</v>
      </c>
      <c r="N37" s="47">
        <v>0</v>
      </c>
      <c r="O37" s="48">
        <f t="shared" si="16"/>
        <v>42294.971312386799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441.09262133466069</v>
      </c>
      <c r="E38" s="47">
        <v>0</v>
      </c>
      <c r="F38" s="48">
        <f t="shared" si="13"/>
        <v>441.09262133466069</v>
      </c>
      <c r="G38" s="47">
        <v>441.97480657733013</v>
      </c>
      <c r="H38" s="47">
        <v>0</v>
      </c>
      <c r="I38" s="48">
        <f t="shared" si="17"/>
        <v>441.97480657733013</v>
      </c>
      <c r="J38" s="47">
        <v>441.97480657733013</v>
      </c>
      <c r="K38" s="47">
        <v>0</v>
      </c>
      <c r="L38" s="48">
        <f t="shared" si="15"/>
        <v>441.97480657733013</v>
      </c>
      <c r="M38" s="47">
        <v>441.97480657733013</v>
      </c>
      <c r="N38" s="47">
        <v>0</v>
      </c>
      <c r="O38" s="48">
        <f t="shared" si="16"/>
        <v>441.97480657733013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195193.64194982481</v>
      </c>
      <c r="E40" s="51">
        <f>E38+E37+E32+E31+E39</f>
        <v>117590.951478</v>
      </c>
      <c r="F40" s="52">
        <f t="shared" si="13"/>
        <v>312784.59342782479</v>
      </c>
      <c r="G40" s="51">
        <f>G38+G37+G32+G31+G39</f>
        <v>182769.51127567393</v>
      </c>
      <c r="H40" s="51">
        <f>H38+H37+H32+H31+H39</f>
        <v>109793.478</v>
      </c>
      <c r="I40" s="52">
        <f t="shared" si="17"/>
        <v>292562.98927567393</v>
      </c>
      <c r="J40" s="51">
        <f>J38+J37+J32+J31+J39</f>
        <v>143254.65181223821</v>
      </c>
      <c r="K40" s="51">
        <f>K38+K37+K32+K31+K39</f>
        <v>117473.478</v>
      </c>
      <c r="L40" s="52">
        <f t="shared" si="15"/>
        <v>260728.12981223821</v>
      </c>
      <c r="M40" s="51">
        <f>M38+M37+M32+M31+M39</f>
        <v>148320.89530725259</v>
      </c>
      <c r="N40" s="51">
        <f>N38+N37+N32+N31+N39</f>
        <v>117473.478</v>
      </c>
      <c r="O40" s="52">
        <f t="shared" si="16"/>
        <v>265794.37330725259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11666.18266959547</v>
      </c>
      <c r="E42" s="22">
        <v>0</v>
      </c>
      <c r="F42" s="36">
        <f t="shared" si="13"/>
        <v>11666.18266959547</v>
      </c>
      <c r="G42" s="22">
        <v>21981.939049462846</v>
      </c>
      <c r="H42" s="22">
        <v>0</v>
      </c>
      <c r="I42" s="36">
        <f t="shared" si="17"/>
        <v>21981.939049462846</v>
      </c>
      <c r="J42" s="22">
        <v>21981.939049462846</v>
      </c>
      <c r="K42" s="22">
        <v>0</v>
      </c>
      <c r="L42" s="36">
        <f t="shared" si="15"/>
        <v>21981.939049462846</v>
      </c>
      <c r="M42" s="22">
        <v>21981.939049462846</v>
      </c>
      <c r="N42" s="22">
        <v>0</v>
      </c>
      <c r="O42" s="36">
        <f t="shared" si="16"/>
        <v>21981.939049462846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-14726.599976112018</v>
      </c>
      <c r="E44" s="57">
        <v>-11409.800960000008</v>
      </c>
      <c r="F44" s="36">
        <f t="shared" si="13"/>
        <v>-26136.400936112026</v>
      </c>
      <c r="G44" s="57">
        <v>-24138.50309587628</v>
      </c>
      <c r="H44" s="172">
        <v>0</v>
      </c>
      <c r="I44" s="36">
        <f t="shared" si="17"/>
        <v>-24138.50309587628</v>
      </c>
      <c r="J44" s="57">
        <v>-12851.781250000004</v>
      </c>
      <c r="K44" s="172">
        <v>0</v>
      </c>
      <c r="L44" s="36">
        <f t="shared" si="15"/>
        <v>-12851.781250000004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90342.081494372324</v>
      </c>
      <c r="F45" s="36">
        <f>E45</f>
        <v>90342.081494372324</v>
      </c>
      <c r="G45" s="34"/>
      <c r="H45" s="22">
        <f>G47*0.1</f>
        <v>92067.767706584826</v>
      </c>
      <c r="I45" s="36">
        <f>H45</f>
        <v>92067.767706584826</v>
      </c>
      <c r="J45" s="34"/>
      <c r="K45" s="22">
        <f>J47*0.1</f>
        <v>89244.953944828885</v>
      </c>
      <c r="L45" s="36">
        <f>K45</f>
        <v>89244.953944828885</v>
      </c>
      <c r="M45" s="34"/>
      <c r="N45" s="22">
        <f>M47*0.1</f>
        <v>91036.756419330326</v>
      </c>
      <c r="O45" s="36">
        <f>N45</f>
        <v>91036.756419330326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903420.81494372315</v>
      </c>
      <c r="E47" s="59">
        <f>E25+E30+E40+E41+E42+E43+E44+E45</f>
        <v>204136.23201237232</v>
      </c>
      <c r="F47" s="60">
        <f>D47+E47</f>
        <v>1107557.0469560954</v>
      </c>
      <c r="G47" s="59">
        <f>G25+G30+G40+G41+G42+G43+G44+G46</f>
        <v>920677.67706584826</v>
      </c>
      <c r="H47" s="59">
        <f>H25+H30+H40+H41+H42+H43+H44+H45+H46</f>
        <v>209474.24570658483</v>
      </c>
      <c r="I47" s="60">
        <f>G47+H47</f>
        <v>1130151.9227724331</v>
      </c>
      <c r="J47" s="59">
        <f>J25+J30+J40+J41+J42+J43+J44+J46</f>
        <v>892449.53944828874</v>
      </c>
      <c r="K47" s="59">
        <f>K25+K30+K40+K41+K42+K43+K44+K45+K46</f>
        <v>214331.43194482889</v>
      </c>
      <c r="L47" s="60">
        <f>J47+K47</f>
        <v>1106780.9713931177</v>
      </c>
      <c r="M47" s="59">
        <f>M25+M30+M40+M41+M42+M43+M44+M46</f>
        <v>910367.56419330323</v>
      </c>
      <c r="N47" s="59">
        <f>N25+N30+N40+N41+N42+N43+N44+N45+N46</f>
        <v>216123.23441933031</v>
      </c>
      <c r="O47" s="60">
        <f>M47+N47</f>
        <v>1126490.7986126335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2406967.6741402028</v>
      </c>
      <c r="E49" s="65">
        <v>356443.2483780203</v>
      </c>
      <c r="F49" s="65">
        <f>D49+E49</f>
        <v>2763410.9225182231</v>
      </c>
      <c r="G49" s="65">
        <f>G50</f>
        <v>2480856.4345268151</v>
      </c>
      <c r="H49" s="65">
        <v>429510.6509386815</v>
      </c>
      <c r="I49" s="65">
        <f t="shared" ref="I49" si="21">G49+H49</f>
        <v>2910367.0854654964</v>
      </c>
      <c r="J49" s="65">
        <f>J50</f>
        <v>2452628.2969092559</v>
      </c>
      <c r="K49" s="65">
        <v>364325.17145268153</v>
      </c>
      <c r="L49" s="65">
        <f t="shared" ref="L49" si="22">J49+K49</f>
        <v>2816953.4683619374</v>
      </c>
      <c r="M49" s="65">
        <f>M50</f>
        <v>2470546.3216542704</v>
      </c>
      <c r="N49" s="65">
        <v>373172.12145268149</v>
      </c>
      <c r="O49" s="65">
        <f t="shared" ref="O49" si="23">M49+N49</f>
        <v>2843718.4431069521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2406967.6741402028</v>
      </c>
      <c r="E50" s="59">
        <f t="shared" si="24"/>
        <v>348763.52329202025</v>
      </c>
      <c r="F50" s="59">
        <f t="shared" si="24"/>
        <v>2755731.1974322228</v>
      </c>
      <c r="G50" s="59">
        <f>+G23+G47</f>
        <v>2480856.4345268151</v>
      </c>
      <c r="H50" s="59">
        <f t="shared" si="24"/>
        <v>372483.65646028786</v>
      </c>
      <c r="I50" s="59">
        <f t="shared" si="24"/>
        <v>2853340.0909871031</v>
      </c>
      <c r="J50" s="59">
        <f t="shared" si="24"/>
        <v>2452628.2969092559</v>
      </c>
      <c r="K50" s="59">
        <f>+K23+K47</f>
        <v>377951.35769092559</v>
      </c>
      <c r="L50" s="59">
        <f t="shared" si="24"/>
        <v>2830579.6546001816</v>
      </c>
      <c r="M50" s="59">
        <f>+M23+M47</f>
        <v>2470546.3216542704</v>
      </c>
      <c r="N50" s="59">
        <f t="shared" si="24"/>
        <v>388590.11016542697</v>
      </c>
      <c r="O50" s="59">
        <f t="shared" si="24"/>
        <v>2859136.4318196969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-14726.599976112018</v>
      </c>
      <c r="E51" s="68">
        <f>E44+E20</f>
        <v>-17137.195600000006</v>
      </c>
      <c r="F51" s="146"/>
      <c r="G51" s="68">
        <f>G44+G20</f>
        <v>-24138.50309587628</v>
      </c>
      <c r="H51" s="68">
        <f>H44+H20</f>
        <v>6991.5350076063842</v>
      </c>
      <c r="I51" s="146"/>
      <c r="J51" s="68">
        <f>J44+J20</f>
        <v>-12851.781250000004</v>
      </c>
      <c r="K51" s="68">
        <f>K44+K20</f>
        <v>7602.0499999999993</v>
      </c>
      <c r="L51" s="146"/>
      <c r="M51" s="68">
        <f>M44+M20</f>
        <v>0</v>
      </c>
      <c r="N51" s="68">
        <f>N44+N20</f>
        <v>16449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0.75849999999999995</v>
      </c>
      <c r="G53" s="72"/>
      <c r="H53" s="73"/>
      <c r="I53" s="74">
        <v>0.75849999999999995</v>
      </c>
      <c r="J53" s="72"/>
      <c r="K53" s="73"/>
      <c r="L53" s="74">
        <v>0.75849999999999995</v>
      </c>
      <c r="M53" s="72"/>
      <c r="N53" s="73"/>
      <c r="O53" s="74">
        <v>0.75849999999999995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6723.0550000000003</v>
      </c>
      <c r="G54" s="34"/>
      <c r="H54" s="76"/>
      <c r="I54" s="77">
        <v>6723.0550000000003</v>
      </c>
      <c r="J54" s="34"/>
      <c r="K54" s="76"/>
      <c r="L54" s="77">
        <v>6723.0550000000003</v>
      </c>
      <c r="M54" s="34"/>
      <c r="N54" s="76"/>
      <c r="O54" s="77">
        <v>6723.0550000000003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39.938337319988428</v>
      </c>
      <c r="G55" s="34"/>
      <c r="H55" s="76"/>
      <c r="I55" s="78">
        <v>39.502347025813442</v>
      </c>
      <c r="J55" s="34"/>
      <c r="K55" s="76"/>
      <c r="L55" s="78">
        <v>40.914047608441521</v>
      </c>
      <c r="M55" s="34"/>
      <c r="N55" s="76"/>
      <c r="O55" s="78">
        <v>42.984061035968182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36.153185206899025</v>
      </c>
      <c r="G56" s="81"/>
      <c r="H56" s="82"/>
      <c r="I56" s="78">
        <v>36.153185206899025</v>
      </c>
      <c r="J56" s="81"/>
      <c r="K56" s="82"/>
      <c r="L56" s="78">
        <v>36.153185206899025</v>
      </c>
      <c r="M56" s="81"/>
      <c r="N56" s="82"/>
      <c r="O56" s="78">
        <v>36.153185206899025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-0.20500000000000002</v>
      </c>
      <c r="G59" s="87"/>
      <c r="H59" s="73"/>
      <c r="I59" s="86">
        <v>-0.20500000000000002</v>
      </c>
      <c r="J59" s="72"/>
      <c r="K59" s="73"/>
      <c r="L59" s="88">
        <v>-0.20500000000000002</v>
      </c>
      <c r="M59" s="72"/>
      <c r="N59" s="73"/>
      <c r="O59" s="88">
        <v>-0.20500000000000002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-9.5353888500624151E-2</v>
      </c>
      <c r="G60" s="90"/>
      <c r="H60" s="76"/>
      <c r="I60" s="89">
        <v>-9.5353888500624151E-2</v>
      </c>
      <c r="J60" s="34"/>
      <c r="K60" s="91"/>
      <c r="L60" s="89">
        <v>-9.5353888500624151E-2</v>
      </c>
      <c r="M60" s="34"/>
      <c r="N60" s="76"/>
      <c r="O60" s="89">
        <v>-9.5353888500624151E-2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-0.30035388850062417</v>
      </c>
      <c r="G61" s="90"/>
      <c r="H61" s="76"/>
      <c r="I61" s="92">
        <v>-0.30035388850062417</v>
      </c>
      <c r="J61" s="34"/>
      <c r="K61" s="76"/>
      <c r="L61" s="93">
        <v>-0.30035388850062417</v>
      </c>
      <c r="M61" s="34"/>
      <c r="N61" s="76"/>
      <c r="O61" s="92">
        <v>-0.30035388850062417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0.69964611149937583</v>
      </c>
      <c r="G62" s="95"/>
      <c r="H62" s="82"/>
      <c r="I62" s="94">
        <v>0.69964611149937583</v>
      </c>
      <c r="J62" s="81"/>
      <c r="K62" s="82"/>
      <c r="L62" s="94">
        <v>0.69964611149937583</v>
      </c>
      <c r="M62" s="81"/>
      <c r="N62" s="82"/>
      <c r="O62" s="94">
        <v>0.69964611149937583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2755731.1974322228</v>
      </c>
      <c r="G72" s="34"/>
      <c r="H72" s="76"/>
      <c r="I72" s="108">
        <f>I50</f>
        <v>2853340.0909871031</v>
      </c>
      <c r="J72" s="34"/>
      <c r="K72" s="76"/>
      <c r="L72" s="108">
        <f>L50</f>
        <v>2830579.6546001816</v>
      </c>
      <c r="M72" s="34"/>
      <c r="N72" s="76"/>
      <c r="O72" s="108">
        <f>O50</f>
        <v>2859136.4318196969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1896041.17846807</v>
      </c>
      <c r="G73" s="34"/>
      <c r="H73" s="76"/>
      <c r="I73" s="110">
        <f>F81</f>
        <v>1648174.1504761274</v>
      </c>
      <c r="J73" s="34"/>
      <c r="K73" s="76"/>
      <c r="L73" s="110">
        <f>I81</f>
        <v>1723188.1682146699</v>
      </c>
      <c r="M73" s="34"/>
      <c r="N73" s="76"/>
      <c r="O73" s="110">
        <f>L81</f>
        <v>1723798.6832070637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759723.33836823178</v>
      </c>
      <c r="G74" s="34"/>
      <c r="H74" s="76"/>
      <c r="I74" s="110">
        <f>F82</f>
        <v>1107557.0469560956</v>
      </c>
      <c r="J74" s="34"/>
      <c r="K74" s="76"/>
      <c r="L74" s="110">
        <f>I82</f>
        <v>1130151.9227724329</v>
      </c>
      <c r="M74" s="34"/>
      <c r="N74" s="76"/>
      <c r="O74" s="110">
        <f>L82</f>
        <v>1106780.9713931179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2655764.5168363019</v>
      </c>
      <c r="G75" s="34"/>
      <c r="H75" s="76"/>
      <c r="I75" s="111">
        <f>SUM(I73:I74)</f>
        <v>2755731.1974322228</v>
      </c>
      <c r="J75" s="34"/>
      <c r="K75" s="76"/>
      <c r="L75" s="111">
        <f>SUM(L73:L74)</f>
        <v>2853340.0909871031</v>
      </c>
      <c r="M75" s="34"/>
      <c r="N75" s="76"/>
      <c r="O75" s="111">
        <f>SUM(O73:O74)</f>
        <v>2830579.6546001816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1.0376413947705752</v>
      </c>
      <c r="G76" s="81"/>
      <c r="H76" s="82"/>
      <c r="I76" s="112">
        <f>I72/I75</f>
        <v>1.0354203246114251</v>
      </c>
      <c r="J76" s="81"/>
      <c r="K76" s="82"/>
      <c r="L76" s="112">
        <f>L72/L75</f>
        <v>0.99202323043831497</v>
      </c>
      <c r="M76" s="81"/>
      <c r="N76" s="82"/>
      <c r="O76" s="112">
        <f>O72/O75</f>
        <v>1.0100886675890239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2755731.1974322228</v>
      </c>
      <c r="G78" s="73"/>
      <c r="H78" s="73"/>
      <c r="I78" s="115">
        <f>IF(I72&lt;=I75*I71,I72,I75*I71)</f>
        <v>2853340.0909871031</v>
      </c>
      <c r="J78" s="73"/>
      <c r="K78" s="73"/>
      <c r="L78" s="115">
        <f>IF(L72&lt;=L75*L71,L72,L75*L71)</f>
        <v>2830579.6546001816</v>
      </c>
      <c r="M78" s="73"/>
      <c r="N78" s="73"/>
      <c r="O78" s="115">
        <f>IF(O72&lt;=O75*O71,O72,O75*O71)</f>
        <v>2859136.4318196969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1503546.8591964794</v>
      </c>
      <c r="E81" s="120">
        <f>E23</f>
        <v>144627.29127964794</v>
      </c>
      <c r="F81" s="115">
        <f>D81+E81</f>
        <v>1648174.1504761274</v>
      </c>
      <c r="G81" s="119">
        <f>G23-I79</f>
        <v>1560178.7574609669</v>
      </c>
      <c r="H81" s="120">
        <f>H23</f>
        <v>163009.41075370306</v>
      </c>
      <c r="I81" s="115">
        <f>G81+H81</f>
        <v>1723188.1682146699</v>
      </c>
      <c r="J81" s="119">
        <f>J23-L79</f>
        <v>1560178.7574609669</v>
      </c>
      <c r="K81" s="120">
        <f>K23</f>
        <v>163619.92574609668</v>
      </c>
      <c r="L81" s="115">
        <f>J81+K81</f>
        <v>1723798.6832070637</v>
      </c>
      <c r="M81" s="119">
        <f>M23-O79</f>
        <v>1560178.7574609669</v>
      </c>
      <c r="N81" s="120">
        <f>N23</f>
        <v>172466.87574609669</v>
      </c>
      <c r="O81" s="115">
        <f>M81+N81</f>
        <v>1732645.6332070637</v>
      </c>
    </row>
    <row r="82" spans="1:52" s="14" customFormat="1" ht="20" customHeight="1" thickBot="1">
      <c r="B82" s="118" t="s">
        <v>72</v>
      </c>
      <c r="D82" s="121">
        <f>D50-D81-F79</f>
        <v>903420.81494372338</v>
      </c>
      <c r="E82" s="122">
        <f>E50-E81</f>
        <v>204136.23201237232</v>
      </c>
      <c r="F82" s="123">
        <f>D82+E82</f>
        <v>1107557.0469560956</v>
      </c>
      <c r="G82" s="121">
        <f>G49-G81-I79</f>
        <v>920677.67706584814</v>
      </c>
      <c r="H82" s="122">
        <f>H50-H81</f>
        <v>209474.2457065848</v>
      </c>
      <c r="I82" s="123">
        <f>G82+H82</f>
        <v>1130151.9227724329</v>
      </c>
      <c r="J82" s="121">
        <f>J50-J81-L79</f>
        <v>892449.53944828897</v>
      </c>
      <c r="K82" s="122">
        <f>K50-K81</f>
        <v>214331.43194482892</v>
      </c>
      <c r="L82" s="123">
        <f>J82+K82</f>
        <v>1106780.9713931179</v>
      </c>
      <c r="M82" s="121">
        <f>M49-M81-O79</f>
        <v>910367.56419330346</v>
      </c>
      <c r="N82" s="122">
        <f>N50-N81</f>
        <v>216123.23441933029</v>
      </c>
      <c r="O82" s="123">
        <f>M82+N82</f>
        <v>1126490.7986126337</v>
      </c>
    </row>
    <row r="83" spans="1:52" s="124" customFormat="1" ht="17.25" customHeight="1" thickBot="1">
      <c r="B83" s="125" t="s">
        <v>73</v>
      </c>
      <c r="C83" s="14"/>
      <c r="D83" s="126">
        <f>SUM(D81:D82)</f>
        <v>2406967.6741402028</v>
      </c>
      <c r="E83" s="127">
        <f t="shared" ref="E83:O83" si="25">SUM(E81:E82)</f>
        <v>348763.52329202025</v>
      </c>
      <c r="F83" s="128">
        <f t="shared" si="25"/>
        <v>2755731.1974322228</v>
      </c>
      <c r="G83" s="126">
        <f t="shared" si="25"/>
        <v>2480856.4345268151</v>
      </c>
      <c r="H83" s="127">
        <f t="shared" si="25"/>
        <v>372483.65646028786</v>
      </c>
      <c r="I83" s="128">
        <f t="shared" si="25"/>
        <v>2853340.0909871031</v>
      </c>
      <c r="J83" s="126">
        <f t="shared" si="25"/>
        <v>2452628.2969092559</v>
      </c>
      <c r="K83" s="127">
        <f t="shared" si="25"/>
        <v>377951.35769092559</v>
      </c>
      <c r="L83" s="128">
        <f t="shared" si="25"/>
        <v>2830579.6546001816</v>
      </c>
      <c r="M83" s="126">
        <f t="shared" si="25"/>
        <v>2470546.3216542704</v>
      </c>
      <c r="N83" s="127">
        <f t="shared" si="25"/>
        <v>388590.11016542697</v>
      </c>
      <c r="O83" s="128">
        <f t="shared" si="25"/>
        <v>2859136.4318196974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1648174.1504761274</v>
      </c>
      <c r="G88" s="72"/>
      <c r="H88" s="73"/>
      <c r="I88" s="136">
        <f>I81-I85</f>
        <v>1723188.1682146699</v>
      </c>
      <c r="J88" s="72"/>
      <c r="K88" s="73"/>
      <c r="L88" s="136">
        <f>L81-L85</f>
        <v>1723798.6832070637</v>
      </c>
      <c r="M88" s="72"/>
      <c r="N88" s="73"/>
      <c r="O88" s="136">
        <f>O81-O85</f>
        <v>1732645.6332070637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1107557.0469560956</v>
      </c>
      <c r="G89" s="34"/>
      <c r="H89" s="76"/>
      <c r="I89" s="138">
        <f>I82-I86</f>
        <v>1130151.9227724329</v>
      </c>
      <c r="J89" s="34"/>
      <c r="K89" s="76"/>
      <c r="L89" s="138">
        <f>L82-L86</f>
        <v>1106780.9713931179</v>
      </c>
      <c r="M89" s="34"/>
      <c r="N89" s="76"/>
      <c r="O89" s="138">
        <f>O82-O86</f>
        <v>1126490.7986126337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2755731.1974322228</v>
      </c>
      <c r="G90" s="81"/>
      <c r="H90" s="82"/>
      <c r="I90" s="139">
        <f>+I88+I89</f>
        <v>2853340.0909871031</v>
      </c>
      <c r="J90" s="81"/>
      <c r="K90" s="82"/>
      <c r="L90" s="139">
        <f>+L88+L89</f>
        <v>2830579.6546001816</v>
      </c>
      <c r="M90" s="81"/>
      <c r="N90" s="82"/>
      <c r="O90" s="139">
        <f>+O88+O89</f>
        <v>2859136.4318196974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-464.23939465063449</v>
      </c>
      <c r="E92" s="143">
        <v>0</v>
      </c>
      <c r="F92" s="144">
        <f>D92+E92</f>
        <v>-464.23939465063449</v>
      </c>
      <c r="G92" s="142">
        <v>-22007.671907878906</v>
      </c>
      <c r="H92" s="143">
        <v>0</v>
      </c>
      <c r="I92" s="144">
        <f>G92+H92</f>
        <v>-22007.671907878906</v>
      </c>
      <c r="J92" s="142">
        <v>-22007.671907878906</v>
      </c>
      <c r="K92" s="143">
        <v>0</v>
      </c>
      <c r="L92" s="144">
        <f>J92+K92</f>
        <v>-22007.671907878906</v>
      </c>
      <c r="M92" s="142">
        <v>-22007.671907878906</v>
      </c>
      <c r="N92" s="143">
        <v>0</v>
      </c>
      <c r="O92" s="144">
        <f>M92+N92</f>
        <v>-22007.671907878906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2496271.1011402099</v>
      </c>
      <c r="E96" s="166">
        <f>E6+E7+E8+E9+E11+E25+E30+E40+E42+E21+E45</f>
        <v>365900.71889202029</v>
      </c>
      <c r="F96" s="166">
        <f t="shared" ref="F96" si="26">F6+F7+F8+F9+F11+F25+F30+F40+F42</f>
        <v>2621475.0526182097</v>
      </c>
      <c r="G96" s="166">
        <f t="shared" ref="G96" si="27">G6+G7+G8+G9+G11+G25+G30+G40+G42+G21+G45</f>
        <v>2579497.2623218871</v>
      </c>
      <c r="H96" s="166">
        <f>H6+H7+H8+H9+H11+H25+H30+H40+H42+H21+H45</f>
        <v>365492.12145268155</v>
      </c>
      <c r="I96" s="166">
        <f t="shared" ref="I96" si="28">I6+I7+I8+I9+I11+I25+I30+I40+I42+I21+I45</f>
        <v>2944989.3837745683</v>
      </c>
      <c r="J96" s="166">
        <f t="shared" ref="J96" si="29">J6+J7+J8+J9+J11+J25+J30+J40+J42</f>
        <v>2539982.4028584515</v>
      </c>
      <c r="K96" s="166">
        <f t="shared" ref="K96" si="30">K6+K7+K8+K9+K11+K25+K30+K40+K42+K21+K45</f>
        <v>370349.30769092561</v>
      </c>
      <c r="L96" s="166">
        <f t="shared" ref="L96" si="31">L6+L7+L8+L9+L11+L25+L30+L40+L42</f>
        <v>2665068.8808584516</v>
      </c>
      <c r="M96" s="166">
        <f t="shared" ref="M96" si="32">M6+M7+M8+M9+M11+M25+M30+M40+M42+M21+M45</f>
        <v>2545048.646353466</v>
      </c>
      <c r="N96" s="166">
        <f t="shared" ref="N96" si="33">N6+N7+N8+N9+N11+N25+N30+N40+N42</f>
        <v>125086.478</v>
      </c>
      <c r="O96" s="166">
        <f t="shared" ref="O96" si="34">O6+O7+O8+O9+O11+O25+O30+O40+O42+O21+O45</f>
        <v>2917189.7565188929</v>
      </c>
    </row>
    <row r="97" spans="4:15" s="14" customFormat="1">
      <c r="D97" s="166">
        <f>D96-D15-D19</f>
        <v>2421694.2741163149</v>
      </c>
      <c r="E97" s="166">
        <f>E96-E15-E19</f>
        <v>365900.71889202029</v>
      </c>
      <c r="F97" s="166">
        <f t="shared" ref="F97:O97" si="35">F96-F15-F19</f>
        <v>2546898.2255943147</v>
      </c>
      <c r="G97" s="166">
        <f t="shared" si="35"/>
        <v>2504994.937622691</v>
      </c>
      <c r="H97" s="166">
        <f>H96-H15-H19</f>
        <v>365492.12145268155</v>
      </c>
      <c r="I97" s="166">
        <f t="shared" si="35"/>
        <v>2870487.0590753723</v>
      </c>
      <c r="J97" s="166">
        <f t="shared" si="35"/>
        <v>2465480.0781592554</v>
      </c>
      <c r="K97" s="166">
        <f t="shared" si="35"/>
        <v>370349.30769092561</v>
      </c>
      <c r="L97" s="166">
        <f t="shared" si="35"/>
        <v>2590566.5561592556</v>
      </c>
      <c r="M97" s="166">
        <f t="shared" si="35"/>
        <v>2470546.3216542699</v>
      </c>
      <c r="N97" s="166">
        <f t="shared" si="35"/>
        <v>125086.478</v>
      </c>
      <c r="O97" s="166">
        <f t="shared" si="35"/>
        <v>2842687.4318196969</v>
      </c>
    </row>
    <row r="98" spans="4:15" s="14" customFormat="1">
      <c r="D98" s="166">
        <f>D20+D44</f>
        <v>-14726.599976112018</v>
      </c>
      <c r="E98" s="166">
        <f>E20+E44</f>
        <v>-17137.195600000006</v>
      </c>
      <c r="F98" s="166">
        <f t="shared" ref="F98:O98" si="36">F20+F44</f>
        <v>-31863.795576112025</v>
      </c>
      <c r="G98" s="166">
        <f t="shared" si="36"/>
        <v>-24138.50309587628</v>
      </c>
      <c r="H98" s="166">
        <f t="shared" si="36"/>
        <v>6991.5350076063842</v>
      </c>
      <c r="I98" s="166">
        <f t="shared" si="36"/>
        <v>-17146.968088269896</v>
      </c>
      <c r="J98" s="166">
        <f t="shared" si="36"/>
        <v>-12851.781250000004</v>
      </c>
      <c r="K98" s="166">
        <f t="shared" si="36"/>
        <v>7602.0499999999993</v>
      </c>
      <c r="L98" s="166">
        <f t="shared" si="36"/>
        <v>-5249.7312500000044</v>
      </c>
      <c r="M98" s="166">
        <f t="shared" si="36"/>
        <v>0</v>
      </c>
      <c r="N98" s="166">
        <f t="shared" si="36"/>
        <v>16449</v>
      </c>
      <c r="O98" s="166">
        <f t="shared" si="36"/>
        <v>16449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87" priority="7" operator="containsText" text="ERRORE">
      <formula>NOT(ISERROR(SEARCH("ERRORE",F81)))</formula>
    </cfRule>
  </conditionalFormatting>
  <conditionalFormatting sqref="I83">
    <cfRule type="containsText" dxfId="186" priority="6" operator="containsText" text="ERRORE">
      <formula>NOT(ISERROR(SEARCH("ERRORE",I83)))</formula>
    </cfRule>
  </conditionalFormatting>
  <conditionalFormatting sqref="I81:I82">
    <cfRule type="containsText" dxfId="185" priority="5" operator="containsText" text="ERRORE">
      <formula>NOT(ISERROR(SEARCH("ERRORE",I81)))</formula>
    </cfRule>
  </conditionalFormatting>
  <conditionalFormatting sqref="L83">
    <cfRule type="containsText" dxfId="184" priority="4" operator="containsText" text="ERRORE">
      <formula>NOT(ISERROR(SEARCH("ERRORE",L83)))</formula>
    </cfRule>
  </conditionalFormatting>
  <conditionalFormatting sqref="L81:L82">
    <cfRule type="containsText" dxfId="183" priority="3" operator="containsText" text="ERRORE">
      <formula>NOT(ISERROR(SEARCH("ERRORE",L81)))</formula>
    </cfRule>
  </conditionalFormatting>
  <conditionalFormatting sqref="O83">
    <cfRule type="containsText" dxfId="182" priority="2" operator="containsText" text="ERRORE">
      <formula>NOT(ISERROR(SEARCH("ERRORE",O83)))</formula>
    </cfRule>
  </conditionalFormatting>
  <conditionalFormatting sqref="O81:O82">
    <cfRule type="containsText" dxfId="181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F67" zoomScale="70" zoomScaleNormal="70" zoomScalePageLayoutView="70" workbookViewId="0">
      <selection activeCell="G51" sqref="G51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121</v>
      </c>
      <c r="B1" s="2" t="str">
        <f>"       PEF 2022 - 2025"&amp;" - "&amp;A1</f>
        <v xml:space="preserve">       PEF 2022 - 2025 - Fiesso d'Artico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145</v>
      </c>
      <c r="E4" s="188"/>
      <c r="F4" s="189"/>
      <c r="G4" s="187" t="str">
        <f>D4</f>
        <v>Ambito tariffario: Fiesso D'Artico</v>
      </c>
      <c r="H4" s="188"/>
      <c r="I4" s="189"/>
      <c r="J4" s="187" t="str">
        <f>D4</f>
        <v>Ambito tariffario: Fiesso D'Artico</v>
      </c>
      <c r="K4" s="188"/>
      <c r="L4" s="189"/>
      <c r="M4" s="187" t="str">
        <f>D4</f>
        <v>Ambito tariffario: Fiesso D'Artico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134254.9614425191</v>
      </c>
      <c r="E6" s="22">
        <v>0</v>
      </c>
      <c r="F6" s="23">
        <f>D6+E6</f>
        <v>134254.9614425191</v>
      </c>
      <c r="G6" s="22">
        <v>138880.55512256504</v>
      </c>
      <c r="H6" s="22">
        <v>0</v>
      </c>
      <c r="I6" s="23">
        <f>G6+H6</f>
        <v>138880.55512256504</v>
      </c>
      <c r="J6" s="22">
        <v>138880.55512256504</v>
      </c>
      <c r="K6" s="22">
        <v>0</v>
      </c>
      <c r="L6" s="23">
        <f>J6+K6</f>
        <v>138880.55512256504</v>
      </c>
      <c r="M6" s="22">
        <v>138880.55512256504</v>
      </c>
      <c r="N6" s="22">
        <v>0</v>
      </c>
      <c r="O6" s="23">
        <f>M6+N6</f>
        <v>138880.55512256504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131098.65225880698</v>
      </c>
      <c r="E7" s="22">
        <v>0</v>
      </c>
      <c r="F7" s="23">
        <f t="shared" ref="F7:F20" si="0">D7+E7</f>
        <v>131098.65225880698</v>
      </c>
      <c r="G7" s="22">
        <v>137231.64286065323</v>
      </c>
      <c r="H7" s="22">
        <v>0</v>
      </c>
      <c r="I7" s="23">
        <f t="shared" ref="I7:I13" si="1">G7+H7</f>
        <v>137231.64286065323</v>
      </c>
      <c r="J7" s="22">
        <v>137231.64286065323</v>
      </c>
      <c r="K7" s="22">
        <v>0</v>
      </c>
      <c r="L7" s="23">
        <f t="shared" ref="L7:L12" si="2">J7+K7</f>
        <v>137231.64286065323</v>
      </c>
      <c r="M7" s="22">
        <v>137231.64286065323</v>
      </c>
      <c r="N7" s="22">
        <v>0</v>
      </c>
      <c r="O7" s="23">
        <f t="shared" ref="O7:O13" si="3">M7+N7</f>
        <v>137231.64286065323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137338.90347289835</v>
      </c>
      <c r="E8" s="22">
        <v>0</v>
      </c>
      <c r="F8" s="23">
        <f t="shared" si="0"/>
        <v>137338.90347289835</v>
      </c>
      <c r="G8" s="22">
        <v>143767.19050295709</v>
      </c>
      <c r="H8" s="22">
        <v>0</v>
      </c>
      <c r="I8" s="23">
        <f t="shared" si="1"/>
        <v>143767.19050295709</v>
      </c>
      <c r="J8" s="22">
        <v>143767.19050295709</v>
      </c>
      <c r="K8" s="22">
        <v>0</v>
      </c>
      <c r="L8" s="23">
        <f t="shared" si="2"/>
        <v>143767.19050295709</v>
      </c>
      <c r="M8" s="22">
        <v>143767.19050295709</v>
      </c>
      <c r="N8" s="22">
        <v>0</v>
      </c>
      <c r="O8" s="23">
        <f t="shared" si="3"/>
        <v>143767.19050295709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304423.33782724285</v>
      </c>
      <c r="E9" s="22">
        <v>0</v>
      </c>
      <c r="F9" s="23">
        <f t="shared" si="0"/>
        <v>304423.33782724285</v>
      </c>
      <c r="G9" s="22">
        <v>313021.40948117903</v>
      </c>
      <c r="H9" s="22">
        <v>0</v>
      </c>
      <c r="I9" s="23">
        <f t="shared" si="1"/>
        <v>313021.40948117903</v>
      </c>
      <c r="J9" s="22">
        <v>313021.40948117903</v>
      </c>
      <c r="K9" s="22">
        <v>0</v>
      </c>
      <c r="L9" s="23">
        <f t="shared" si="2"/>
        <v>313021.40948117903</v>
      </c>
      <c r="M9" s="22">
        <v>313021.40948117903</v>
      </c>
      <c r="N9" s="22">
        <v>0</v>
      </c>
      <c r="O9" s="23">
        <f t="shared" si="3"/>
        <v>313021.40948117903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3287.9224115464331</v>
      </c>
      <c r="E11" s="22">
        <v>0</v>
      </c>
      <c r="F11" s="23">
        <f t="shared" si="0"/>
        <v>3287.9224115464331</v>
      </c>
      <c r="G11" s="22">
        <v>3287.9224115464331</v>
      </c>
      <c r="H11" s="22">
        <v>0</v>
      </c>
      <c r="I11" s="23">
        <f t="shared" si="1"/>
        <v>3287.9224115464331</v>
      </c>
      <c r="J11" s="22">
        <v>3287.9224115464331</v>
      </c>
      <c r="K11" s="22">
        <v>0</v>
      </c>
      <c r="L11" s="23">
        <f t="shared" si="2"/>
        <v>3287.9224115464331</v>
      </c>
      <c r="M11" s="22">
        <v>3287.9224115464331</v>
      </c>
      <c r="N11" s="22">
        <v>0</v>
      </c>
      <c r="O11" s="23">
        <f t="shared" si="3"/>
        <v>3287.9224115464331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74141.006613599486</v>
      </c>
      <c r="E13" s="22">
        <v>0</v>
      </c>
      <c r="F13" s="23">
        <f t="shared" si="0"/>
        <v>74141.006613599486</v>
      </c>
      <c r="G13" s="22">
        <v>74066.93967392559</v>
      </c>
      <c r="H13" s="22">
        <v>0</v>
      </c>
      <c r="I13" s="23">
        <f t="shared" si="1"/>
        <v>74066.93967392559</v>
      </c>
      <c r="J13" s="22">
        <v>74066.93967392559</v>
      </c>
      <c r="K13" s="22">
        <v>0</v>
      </c>
      <c r="L13" s="23">
        <f>J13+K13</f>
        <v>74066.93967392559</v>
      </c>
      <c r="M13" s="22">
        <v>74066.93967392559</v>
      </c>
      <c r="N13" s="22">
        <v>0</v>
      </c>
      <c r="O13" s="23">
        <f t="shared" si="3"/>
        <v>74066.93967392559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44484.603968159689</v>
      </c>
      <c r="E15" s="22">
        <v>0</v>
      </c>
      <c r="F15" s="23">
        <f t="shared" si="0"/>
        <v>44484.603968159689</v>
      </c>
      <c r="G15" s="22">
        <v>44440.163804355354</v>
      </c>
      <c r="H15" s="22">
        <v>0</v>
      </c>
      <c r="I15" s="23">
        <f t="shared" ref="I15:I16" si="4">G15+H15</f>
        <v>44440.163804355354</v>
      </c>
      <c r="J15" s="22">
        <v>44440.163804355354</v>
      </c>
      <c r="K15" s="22">
        <v>0</v>
      </c>
      <c r="L15" s="23">
        <f t="shared" ref="L15:L16" si="5">J15+K15</f>
        <v>44440.163804355354</v>
      </c>
      <c r="M15" s="22">
        <v>44440.163804355354</v>
      </c>
      <c r="N15" s="22">
        <v>0</v>
      </c>
      <c r="O15" s="23">
        <f t="shared" ref="O15:O16" si="6">M15+N15</f>
        <v>44440.163804355354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534.59001927197812</v>
      </c>
      <c r="E16" s="22">
        <v>0</v>
      </c>
      <c r="F16" s="23">
        <f t="shared" si="0"/>
        <v>534.59001927197812</v>
      </c>
      <c r="G16" s="22">
        <v>534.05596330866945</v>
      </c>
      <c r="H16" s="22">
        <v>0</v>
      </c>
      <c r="I16" s="23">
        <f t="shared" si="4"/>
        <v>534.05596330866945</v>
      </c>
      <c r="J16" s="22">
        <v>534.05596330866945</v>
      </c>
      <c r="K16" s="22">
        <v>0</v>
      </c>
      <c r="L16" s="23">
        <f t="shared" si="5"/>
        <v>534.05596330866945</v>
      </c>
      <c r="M16" s="22">
        <v>534.05596330866945</v>
      </c>
      <c r="N16" s="22">
        <v>0</v>
      </c>
      <c r="O16" s="23">
        <f t="shared" si="6"/>
        <v>534.05596330866945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352.82941271950557</v>
      </c>
      <c r="E19" s="22">
        <v>0</v>
      </c>
      <c r="F19" s="23">
        <f t="shared" si="0"/>
        <v>352.82941271950557</v>
      </c>
      <c r="G19" s="22">
        <v>352.47693578372184</v>
      </c>
      <c r="H19" s="22">
        <v>0</v>
      </c>
      <c r="I19" s="23">
        <f t="shared" ref="I19:I20" si="7">G19+H19</f>
        <v>352.47693578372184</v>
      </c>
      <c r="J19" s="22">
        <v>352.47693578372184</v>
      </c>
      <c r="K19" s="22">
        <v>0</v>
      </c>
      <c r="L19" s="23">
        <f t="shared" ref="L19:L20" si="8">J19+K19</f>
        <v>352.47693578372184</v>
      </c>
      <c r="M19" s="32">
        <v>352.47693578372184</v>
      </c>
      <c r="N19" s="33">
        <v>0</v>
      </c>
      <c r="O19" s="23">
        <f t="shared" ref="O19:O20" si="9">M19+N19</f>
        <v>352.47693578372184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43645.002615806661</v>
      </c>
      <c r="E20" s="22">
        <v>0</v>
      </c>
      <c r="F20" s="23">
        <f t="shared" si="0"/>
        <v>43645.002615806661</v>
      </c>
      <c r="G20" s="22">
        <f>170765.603578158</f>
        <v>170765.60357815801</v>
      </c>
      <c r="H20" s="22">
        <v>0</v>
      </c>
      <c r="I20" s="23">
        <f t="shared" si="7"/>
        <v>170765.60357815801</v>
      </c>
      <c r="J20" s="22">
        <v>23555.103750000002</v>
      </c>
      <c r="K20" s="22">
        <v>0</v>
      </c>
      <c r="L20" s="23">
        <f t="shared" si="8"/>
        <v>23555.103750000002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v>0</v>
      </c>
      <c r="F21" s="23">
        <f>E21</f>
        <v>0</v>
      </c>
      <c r="G21" s="34"/>
      <c r="H21" s="22">
        <v>0</v>
      </c>
      <c r="I21" s="23">
        <f>H21</f>
        <v>0</v>
      </c>
      <c r="J21" s="34"/>
      <c r="K21" s="22">
        <v>0</v>
      </c>
      <c r="L21" s="23">
        <f>K21</f>
        <v>0</v>
      </c>
      <c r="M21" s="34"/>
      <c r="N21" s="22">
        <v>0</v>
      </c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>
        <v>53090</v>
      </c>
      <c r="K22" s="22">
        <v>0</v>
      </c>
      <c r="L22" s="36">
        <f t="shared" ref="L22" si="11">J22+K22</f>
        <v>53090</v>
      </c>
      <c r="M22" s="22">
        <v>174822</v>
      </c>
      <c r="N22" s="22">
        <v>0</v>
      </c>
      <c r="O22" s="36">
        <f t="shared" ref="O22" si="12">M22+N22</f>
        <v>174822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709211.34664794127</v>
      </c>
      <c r="E23" s="38">
        <f>E6+E7+E8+E9+E10+E11+E12-E15-E19+E20+E21</f>
        <v>0</v>
      </c>
      <c r="F23" s="38">
        <f>D23+E23</f>
        <v>709211.34664794127</v>
      </c>
      <c r="G23" s="38">
        <f>G6+G7+G8+G9+G10+G11+G12-G15-G19+G20+G22</f>
        <v>862161.68321691966</v>
      </c>
      <c r="H23" s="38">
        <f>H6+H7+H8+H9+H10+H11+H12-H15-H19+H20+H21+H22</f>
        <v>0</v>
      </c>
      <c r="I23" s="38">
        <f>G23+H23</f>
        <v>862161.68321691966</v>
      </c>
      <c r="J23" s="38">
        <f>J6+J7+J8+J9+J10+J11+J12-J15-J19+J20+J22</f>
        <v>768041.18338876171</v>
      </c>
      <c r="K23" s="38">
        <f>K6+K7+K8+K9+K10+K11+K12-K15-K19+K20+K21+K22</f>
        <v>0</v>
      </c>
      <c r="L23" s="38">
        <f>J23+K23</f>
        <v>768041.18338876171</v>
      </c>
      <c r="M23" s="38">
        <f>M6+M7+M8+M9+M10+M11+M12-M15-M19+M20+M22</f>
        <v>866218.0796387617</v>
      </c>
      <c r="N23" s="38">
        <f>N6+N7+N8+N9+N10+N11+N12-N15-N19+N20+N21+N22</f>
        <v>0</v>
      </c>
      <c r="O23" s="38">
        <f>M23+N23</f>
        <v>866218.0796387617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159231.59435965164</v>
      </c>
      <c r="E25" s="44">
        <v>0</v>
      </c>
      <c r="F25" s="45">
        <f t="shared" ref="F25:F44" si="13">D25+E25</f>
        <v>159231.59435965164</v>
      </c>
      <c r="G25" s="44">
        <v>166437.93902610039</v>
      </c>
      <c r="H25" s="44">
        <v>0</v>
      </c>
      <c r="I25" s="45">
        <f t="shared" ref="I25:I33" si="14">G25+H25</f>
        <v>166437.93902610039</v>
      </c>
      <c r="J25" s="44">
        <v>166437.93902610039</v>
      </c>
      <c r="K25" s="44">
        <v>0</v>
      </c>
      <c r="L25" s="45">
        <f t="shared" ref="L25:L44" si="15">J25+K25</f>
        <v>166437.93902610039</v>
      </c>
      <c r="M25" s="44">
        <v>166437.93902610039</v>
      </c>
      <c r="N25" s="44">
        <v>0</v>
      </c>
      <c r="O25" s="45">
        <f t="shared" ref="O25:O43" si="16">M25+N25</f>
        <v>166437.93902610039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73127.885377443643</v>
      </c>
      <c r="E26" s="22">
        <v>0</v>
      </c>
      <c r="F26" s="36">
        <f t="shared" si="13"/>
        <v>73127.885377443643</v>
      </c>
      <c r="G26" s="22">
        <v>75270.108836471249</v>
      </c>
      <c r="H26" s="22">
        <v>0</v>
      </c>
      <c r="I26" s="36">
        <f t="shared" si="14"/>
        <v>75270.108836471249</v>
      </c>
      <c r="J26" s="22">
        <v>75270.108836471249</v>
      </c>
      <c r="K26" s="22">
        <v>0</v>
      </c>
      <c r="L26" s="36">
        <f t="shared" si="15"/>
        <v>75270.108836471249</v>
      </c>
      <c r="M26" s="22">
        <v>75270.108836471249</v>
      </c>
      <c r="N26" s="22">
        <v>0</v>
      </c>
      <c r="O26" s="36">
        <f t="shared" si="16"/>
        <v>75270.108836471249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99773.130629847175</v>
      </c>
      <c r="E27" s="47">
        <v>0</v>
      </c>
      <c r="F27" s="48">
        <f t="shared" si="13"/>
        <v>99773.130629847175</v>
      </c>
      <c r="G27" s="47">
        <v>103615.03332574781</v>
      </c>
      <c r="H27" s="47">
        <v>0</v>
      </c>
      <c r="I27" s="48">
        <f t="shared" si="14"/>
        <v>103615.03332574781</v>
      </c>
      <c r="J27" s="47">
        <v>103615.03332574781</v>
      </c>
      <c r="K27" s="47">
        <v>0</v>
      </c>
      <c r="L27" s="48">
        <f t="shared" si="15"/>
        <v>103615.03332574781</v>
      </c>
      <c r="M27" s="47">
        <v>103615.03332574781</v>
      </c>
      <c r="N27" s="47">
        <v>0</v>
      </c>
      <c r="O27" s="48">
        <f t="shared" si="16"/>
        <v>103615.03332574781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14108.335682815043</v>
      </c>
      <c r="E29" s="47">
        <v>0</v>
      </c>
      <c r="F29" s="48">
        <f t="shared" si="13"/>
        <v>14108.335682815043</v>
      </c>
      <c r="G29" s="47">
        <v>14209.692200040701</v>
      </c>
      <c r="H29" s="47">
        <v>0</v>
      </c>
      <c r="I29" s="48">
        <f t="shared" si="14"/>
        <v>14209.692200040701</v>
      </c>
      <c r="J29" s="47">
        <v>14209.692200040701</v>
      </c>
      <c r="K29" s="47">
        <v>0</v>
      </c>
      <c r="L29" s="48">
        <f t="shared" si="15"/>
        <v>14209.692200040701</v>
      </c>
      <c r="M29" s="47">
        <v>14209.692200040701</v>
      </c>
      <c r="N29" s="47">
        <v>0</v>
      </c>
      <c r="O29" s="48">
        <f t="shared" si="16"/>
        <v>14209.692200040701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187009.35169010586</v>
      </c>
      <c r="E30" s="51">
        <f>+E26+E27+E28+E29</f>
        <v>0</v>
      </c>
      <c r="F30" s="52">
        <f t="shared" si="13"/>
        <v>187009.35169010586</v>
      </c>
      <c r="G30" s="51">
        <f>+G26+G27+G28+G29</f>
        <v>193094.83436225975</v>
      </c>
      <c r="H30" s="51">
        <f>+H26+H27+H28+H29</f>
        <v>0</v>
      </c>
      <c r="I30" s="52">
        <f t="shared" si="14"/>
        <v>193094.83436225975</v>
      </c>
      <c r="J30" s="51">
        <f>+J26+J27+J28+J29</f>
        <v>193094.83436225975</v>
      </c>
      <c r="K30" s="51">
        <f>+K26+K27+K28+K29</f>
        <v>0</v>
      </c>
      <c r="L30" s="52">
        <f t="shared" si="15"/>
        <v>193094.83436225975</v>
      </c>
      <c r="M30" s="51">
        <f>+M26+M27+M28+M29</f>
        <v>193094.83436225975</v>
      </c>
      <c r="N30" s="51">
        <f>+N26+N27+N28+N29</f>
        <v>0</v>
      </c>
      <c r="O30" s="52">
        <f t="shared" si="16"/>
        <v>193094.83436225975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95550.656205104402</v>
      </c>
      <c r="E31" s="53">
        <v>0</v>
      </c>
      <c r="F31" s="48">
        <f t="shared" si="13"/>
        <v>95550.656205104402</v>
      </c>
      <c r="G31" s="147">
        <f>VLOOKUP($A$1,REM_ToolEnrico!$B$5:$J$38,4,FALSE)</f>
        <v>73451.765056837758</v>
      </c>
      <c r="H31" s="53">
        <v>0</v>
      </c>
      <c r="I31" s="48">
        <f t="shared" si="14"/>
        <v>73451.765056837758</v>
      </c>
      <c r="J31" s="147">
        <f>VLOOKUP($A$1,REM_ToolEnrico!$B$5:$J$38,6,FALSE)</f>
        <v>71484.120102744186</v>
      </c>
      <c r="K31" s="53">
        <v>0</v>
      </c>
      <c r="L31" s="48">
        <f t="shared" si="15"/>
        <v>71484.120102744186</v>
      </c>
      <c r="M31" s="147">
        <f>VLOOKUP($A$1,REM_ToolEnrico!$B$5:$J$38,8,FALSE)</f>
        <v>62273.127287900621</v>
      </c>
      <c r="N31" s="53">
        <v>0</v>
      </c>
      <c r="O31" s="48">
        <f t="shared" si="16"/>
        <v>62273.127287900621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69560.225836568978</v>
      </c>
      <c r="E32" s="54">
        <f>+E33+E34+E35+E36</f>
        <v>0</v>
      </c>
      <c r="F32" s="48">
        <f t="shared" si="13"/>
        <v>69560.225836568978</v>
      </c>
      <c r="G32" s="54">
        <f>+G33+G34+G35+G36</f>
        <v>69490.735101467522</v>
      </c>
      <c r="H32" s="54">
        <f>+H33+H34+H35+H36</f>
        <v>0</v>
      </c>
      <c r="I32" s="48">
        <f t="shared" si="14"/>
        <v>69490.735101467522</v>
      </c>
      <c r="J32" s="54">
        <f>+J33+J34+J35+J36</f>
        <v>69490.735101467522</v>
      </c>
      <c r="K32" s="54">
        <f>+K33+K34+K35+K36</f>
        <v>0</v>
      </c>
      <c r="L32" s="48">
        <f t="shared" si="15"/>
        <v>69490.735101467522</v>
      </c>
      <c r="M32" s="54">
        <f>+M33+M34+M35+M36</f>
        <v>69490.735101467522</v>
      </c>
      <c r="N32" s="54">
        <f>+N33+N34+N35+N36</f>
        <v>0</v>
      </c>
      <c r="O32" s="48">
        <f t="shared" si="16"/>
        <v>69490.735101467522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69560.225836568978</v>
      </c>
      <c r="E34" s="47">
        <v>0</v>
      </c>
      <c r="F34" s="48">
        <f>D34+E34</f>
        <v>69560.225836568978</v>
      </c>
      <c r="G34" s="47">
        <v>69490.735101467522</v>
      </c>
      <c r="H34" s="47">
        <v>0</v>
      </c>
      <c r="I34" s="48">
        <f>G34+H34</f>
        <v>69490.735101467522</v>
      </c>
      <c r="J34" s="47">
        <v>69490.735101467522</v>
      </c>
      <c r="K34" s="158">
        <v>0</v>
      </c>
      <c r="L34" s="48">
        <f t="shared" si="15"/>
        <v>69490.735101467522</v>
      </c>
      <c r="M34" s="47">
        <v>69490.735101467522</v>
      </c>
      <c r="N34" s="158">
        <v>0</v>
      </c>
      <c r="O34" s="48">
        <f t="shared" si="16"/>
        <v>69490.735101467522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VLOOKUP($A$1,REM_ToolEnrico!$B$5:$J$38,3,FALSE)-+VLOOKUP($A$1,REM_ToolEnrico_detterreni!$B$5:$C$38,2,FALSE)</f>
        <v>33739.761738963542</v>
      </c>
      <c r="E37" s="47">
        <v>0</v>
      </c>
      <c r="F37" s="48">
        <f t="shared" si="13"/>
        <v>33739.761738963542</v>
      </c>
      <c r="G37" s="147">
        <f>VLOOKUP($A$1,REM_ToolEnrico!$B$5:$J$38,5,FALSE)</f>
        <v>32589.567256167327</v>
      </c>
      <c r="H37" s="47">
        <v>0</v>
      </c>
      <c r="I37" s="48">
        <f t="shared" si="17"/>
        <v>32589.567256167327</v>
      </c>
      <c r="J37" s="147">
        <f>VLOOKUP($A$1,REM_ToolEnrico!$B$5:$J$38,7,FALSE)</f>
        <v>30456.899031715944</v>
      </c>
      <c r="K37" s="47">
        <v>0</v>
      </c>
      <c r="L37" s="48">
        <f t="shared" si="15"/>
        <v>30456.899031715944</v>
      </c>
      <c r="M37" s="147">
        <f>VLOOKUP($A$1,REM_ToolEnrico!$B$5:$J$38,9,FALSE)</f>
        <v>28034.864837319241</v>
      </c>
      <c r="N37" s="47">
        <v>0</v>
      </c>
      <c r="O37" s="48">
        <f t="shared" si="16"/>
        <v>28034.864837319241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490.77411563405252</v>
      </c>
      <c r="E38" s="47">
        <v>0</v>
      </c>
      <c r="F38" s="48">
        <f t="shared" si="13"/>
        <v>490.77411563405252</v>
      </c>
      <c r="G38" s="47">
        <v>491.75566386532068</v>
      </c>
      <c r="H38" s="47">
        <v>0</v>
      </c>
      <c r="I38" s="48">
        <f t="shared" si="17"/>
        <v>491.75566386532068</v>
      </c>
      <c r="J38" s="47">
        <v>491.75566386532068</v>
      </c>
      <c r="K38" s="47">
        <v>0</v>
      </c>
      <c r="L38" s="48">
        <f t="shared" si="15"/>
        <v>491.75566386532068</v>
      </c>
      <c r="M38" s="47">
        <v>491.75566386532068</v>
      </c>
      <c r="N38" s="47">
        <v>0</v>
      </c>
      <c r="O38" s="48">
        <f t="shared" si="16"/>
        <v>491.75566386532068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199341.41789627098</v>
      </c>
      <c r="E40" s="51">
        <f>E38+E37+E32+E31+E39</f>
        <v>0</v>
      </c>
      <c r="F40" s="52">
        <f t="shared" si="13"/>
        <v>199341.41789627098</v>
      </c>
      <c r="G40" s="51">
        <f>G38+G37+G32+G31+G39</f>
        <v>176023.82307833794</v>
      </c>
      <c r="H40" s="51">
        <f>H38+H37+H32+H31+H39</f>
        <v>0</v>
      </c>
      <c r="I40" s="52">
        <f t="shared" si="17"/>
        <v>176023.82307833794</v>
      </c>
      <c r="J40" s="51">
        <f>J38+J37+J32+J31+J39</f>
        <v>171923.50989979296</v>
      </c>
      <c r="K40" s="51">
        <f>K38+K37+K32+K31+K39</f>
        <v>0</v>
      </c>
      <c r="L40" s="52">
        <f t="shared" si="15"/>
        <v>171923.50989979296</v>
      </c>
      <c r="M40" s="51">
        <f>M38+M37+M32+M31+M39</f>
        <v>160290.4828905527</v>
      </c>
      <c r="N40" s="51">
        <f>N38+N37+N32+N31+N39</f>
        <v>0</v>
      </c>
      <c r="O40" s="52">
        <f t="shared" si="16"/>
        <v>160290.4828905527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5453.5673066183499</v>
      </c>
      <c r="E42" s="22">
        <v>0</v>
      </c>
      <c r="F42" s="36">
        <f t="shared" si="13"/>
        <v>5453.5673066183499</v>
      </c>
      <c r="G42" s="22">
        <v>10275.853510219784</v>
      </c>
      <c r="H42" s="22">
        <v>0</v>
      </c>
      <c r="I42" s="36">
        <f t="shared" si="17"/>
        <v>10275.853510219784</v>
      </c>
      <c r="J42" s="22">
        <v>10275.853510219784</v>
      </c>
      <c r="K42" s="22">
        <v>0</v>
      </c>
      <c r="L42" s="36">
        <f t="shared" si="15"/>
        <v>10275.853510219784</v>
      </c>
      <c r="M42" s="22">
        <v>10275.853510219784</v>
      </c>
      <c r="N42" s="22">
        <v>0</v>
      </c>
      <c r="O42" s="36">
        <f t="shared" si="16"/>
        <v>10275.853510219784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0</v>
      </c>
      <c r="F44" s="36">
        <f t="shared" si="13"/>
        <v>0</v>
      </c>
      <c r="G44" s="57">
        <f>68933.1638181777</f>
        <v>68933.163818177694</v>
      </c>
      <c r="H44" s="57">
        <v>0</v>
      </c>
      <c r="I44" s="36">
        <f t="shared" si="17"/>
        <v>68933.163818177694</v>
      </c>
      <c r="J44" s="57">
        <v>1322.5275000000001</v>
      </c>
      <c r="K44" s="57">
        <v>0</v>
      </c>
      <c r="L44" s="36">
        <f t="shared" si="15"/>
        <v>1322.5275000000001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v>0</v>
      </c>
      <c r="F45" s="36">
        <f>E45</f>
        <v>0</v>
      </c>
      <c r="G45" s="34"/>
      <c r="H45" s="22">
        <v>0</v>
      </c>
      <c r="I45" s="36">
        <f>H45</f>
        <v>0</v>
      </c>
      <c r="J45" s="34"/>
      <c r="K45" s="22">
        <v>0</v>
      </c>
      <c r="L45" s="36">
        <f>K45</f>
        <v>0</v>
      </c>
      <c r="M45" s="34"/>
      <c r="N45" s="22">
        <v>0</v>
      </c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551035.93125264684</v>
      </c>
      <c r="E47" s="59">
        <f>E25+E30+E40+E41+E42+E43+E44+E45</f>
        <v>0</v>
      </c>
      <c r="F47" s="60">
        <f>D47+E47</f>
        <v>551035.93125264684</v>
      </c>
      <c r="G47" s="59">
        <f>G25+G30+G40+G41+G42+G43+G44+G46</f>
        <v>614765.61379509559</v>
      </c>
      <c r="H47" s="59">
        <f>H25+H30+H40+H41+H42+H43+H44+H45+H46</f>
        <v>0</v>
      </c>
      <c r="I47" s="60">
        <f>G47+H47</f>
        <v>614765.61379509559</v>
      </c>
      <c r="J47" s="59">
        <f>J25+J30+J40+J41+J42+J43+J44+J46</f>
        <v>543054.66429837293</v>
      </c>
      <c r="K47" s="59">
        <f>K25+K30+K40+K41+K42+K43+K44+K45+K46</f>
        <v>0</v>
      </c>
      <c r="L47" s="60">
        <f>J47+K47</f>
        <v>543054.66429837293</v>
      </c>
      <c r="M47" s="59">
        <f>M25+M30+M40+M41+M42+M43+M44+M46</f>
        <v>530099.10978913272</v>
      </c>
      <c r="N47" s="59">
        <f>N25+N30+N40+N41+N42+N43+N44+N45+N46</f>
        <v>0</v>
      </c>
      <c r="O47" s="60">
        <f>M47+N47</f>
        <v>530099.10978913272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1261488.5448703798</v>
      </c>
      <c r="E49" s="65">
        <v>0</v>
      </c>
      <c r="F49" s="65">
        <f>D49+E49</f>
        <v>1261488.5448703798</v>
      </c>
      <c r="G49" s="65">
        <f>G50</f>
        <v>1476927.2970120152</v>
      </c>
      <c r="H49" s="65">
        <v>0</v>
      </c>
      <c r="I49" s="65">
        <f t="shared" ref="I49" si="21">G49+H49</f>
        <v>1476927.2970120152</v>
      </c>
      <c r="J49" s="65">
        <f>J50</f>
        <v>1311095.8476871345</v>
      </c>
      <c r="K49" s="65">
        <v>0</v>
      </c>
      <c r="L49" s="65">
        <f t="shared" ref="L49" si="22">J49+K49</f>
        <v>1311095.8476871345</v>
      </c>
      <c r="M49" s="65">
        <f>M50</f>
        <v>1396317.1894278945</v>
      </c>
      <c r="N49" s="65">
        <v>0</v>
      </c>
      <c r="O49" s="65">
        <f t="shared" ref="O49" si="23">M49+N49</f>
        <v>1396317.1894278945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1260247.2779005882</v>
      </c>
      <c r="E50" s="59">
        <f t="shared" si="24"/>
        <v>0</v>
      </c>
      <c r="F50" s="59">
        <f t="shared" si="24"/>
        <v>1260247.2779005882</v>
      </c>
      <c r="G50" s="59">
        <f>+G23+G47</f>
        <v>1476927.2970120152</v>
      </c>
      <c r="H50" s="59">
        <f t="shared" si="24"/>
        <v>0</v>
      </c>
      <c r="I50" s="59">
        <f t="shared" si="24"/>
        <v>1476927.2970120152</v>
      </c>
      <c r="J50" s="59">
        <f t="shared" si="24"/>
        <v>1311095.8476871345</v>
      </c>
      <c r="K50" s="59">
        <f>+K23+K47</f>
        <v>0</v>
      </c>
      <c r="L50" s="59">
        <f t="shared" si="24"/>
        <v>1311095.8476871345</v>
      </c>
      <c r="M50" s="59">
        <f>+M23+M47</f>
        <v>1396317.1894278945</v>
      </c>
      <c r="N50" s="59">
        <f t="shared" si="24"/>
        <v>0</v>
      </c>
      <c r="O50" s="59">
        <f t="shared" si="24"/>
        <v>1396317.1894278945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43645.002615806661</v>
      </c>
      <c r="E51" s="68"/>
      <c r="F51" s="146"/>
      <c r="G51" s="68">
        <f>G44+G20</f>
        <v>239698.76739633572</v>
      </c>
      <c r="H51" s="68"/>
      <c r="I51" s="146"/>
      <c r="J51" s="68">
        <f>J44+J20</f>
        <v>24877.631250000002</v>
      </c>
      <c r="K51" s="68"/>
      <c r="L51" s="146"/>
      <c r="M51" s="68">
        <f>M44+M20</f>
        <v>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0.77359999999999995</v>
      </c>
      <c r="G53" s="72"/>
      <c r="H53" s="73"/>
      <c r="I53" s="74">
        <v>0.77359999999999995</v>
      </c>
      <c r="J53" s="72"/>
      <c r="K53" s="73"/>
      <c r="L53" s="74">
        <v>0.77359999999999995</v>
      </c>
      <c r="M53" s="72"/>
      <c r="N53" s="73"/>
      <c r="O53" s="74">
        <v>0.77359999999999995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3128.4879999999998</v>
      </c>
      <c r="G54" s="34"/>
      <c r="H54" s="76"/>
      <c r="I54" s="77">
        <v>3128.4879999999998</v>
      </c>
      <c r="J54" s="34"/>
      <c r="K54" s="76"/>
      <c r="L54" s="77">
        <v>3128.4879999999998</v>
      </c>
      <c r="M54" s="34"/>
      <c r="N54" s="76"/>
      <c r="O54" s="77">
        <v>3128.4879999999998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37.427594125954315</v>
      </c>
      <c r="G55" s="34"/>
      <c r="H55" s="76"/>
      <c r="I55" s="78">
        <v>34.693761551906228</v>
      </c>
      <c r="J55" s="34"/>
      <c r="K55" s="76"/>
      <c r="L55" s="78">
        <v>36.94885605278013</v>
      </c>
      <c r="M55" s="34"/>
      <c r="N55" s="76"/>
      <c r="O55" s="78">
        <v>39.350531696210837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30.963138359229141</v>
      </c>
      <c r="G56" s="81"/>
      <c r="H56" s="82"/>
      <c r="I56" s="78">
        <v>30.963138359229141</v>
      </c>
      <c r="J56" s="81"/>
      <c r="K56" s="82"/>
      <c r="L56" s="78">
        <v>30.963138359229141</v>
      </c>
      <c r="M56" s="81"/>
      <c r="N56" s="82"/>
      <c r="O56" s="78">
        <v>30.963138359229141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-0.13</v>
      </c>
      <c r="G59" s="87"/>
      <c r="H59" s="73"/>
      <c r="I59" s="86">
        <v>-0.13</v>
      </c>
      <c r="J59" s="72"/>
      <c r="K59" s="73"/>
      <c r="L59" s="88">
        <v>-0.13</v>
      </c>
      <c r="M59" s="72"/>
      <c r="N59" s="73"/>
      <c r="O59" s="88">
        <v>-0.13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-2.0867407060188026E-2</v>
      </c>
      <c r="G60" s="90"/>
      <c r="H60" s="76"/>
      <c r="I60" s="89">
        <v>-2.0867407060188026E-2</v>
      </c>
      <c r="J60" s="34"/>
      <c r="K60" s="91"/>
      <c r="L60" s="89">
        <v>-2.0867407060188026E-2</v>
      </c>
      <c r="M60" s="34"/>
      <c r="N60" s="76"/>
      <c r="O60" s="89">
        <v>-2.0867407060188026E-2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-0.15086740706018803</v>
      </c>
      <c r="G61" s="90"/>
      <c r="H61" s="76"/>
      <c r="I61" s="92">
        <v>-0.15086740706018803</v>
      </c>
      <c r="J61" s="34"/>
      <c r="K61" s="76"/>
      <c r="L61" s="93">
        <v>-0.15086740706018803</v>
      </c>
      <c r="M61" s="34"/>
      <c r="N61" s="76"/>
      <c r="O61" s="92">
        <v>-0.15086740706018803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0.84913259293981191</v>
      </c>
      <c r="G62" s="95"/>
      <c r="H62" s="82"/>
      <c r="I62" s="94">
        <v>0.84913259293981191</v>
      </c>
      <c r="J62" s="81"/>
      <c r="K62" s="82"/>
      <c r="L62" s="94">
        <v>0.84913259293981191</v>
      </c>
      <c r="M62" s="81"/>
      <c r="N62" s="82"/>
      <c r="O62" s="94">
        <v>0.84913259293981191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1260247.2779005882</v>
      </c>
      <c r="G72" s="34"/>
      <c r="H72" s="76"/>
      <c r="I72" s="108">
        <f>I50</f>
        <v>1476927.2970120152</v>
      </c>
      <c r="J72" s="34"/>
      <c r="K72" s="76"/>
      <c r="L72" s="108">
        <f>L50</f>
        <v>1311095.8476871345</v>
      </c>
      <c r="M72" s="34"/>
      <c r="N72" s="76"/>
      <c r="O72" s="108">
        <f>O50</f>
        <v>1396317.1894278945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656007.2682044981</v>
      </c>
      <c r="G73" s="34"/>
      <c r="H73" s="76"/>
      <c r="I73" s="110">
        <f>F81</f>
        <v>604904.59649585304</v>
      </c>
      <c r="J73" s="34"/>
      <c r="K73" s="76"/>
      <c r="L73" s="110">
        <f>I81</f>
        <v>616311.04825705686</v>
      </c>
      <c r="M73" s="34"/>
      <c r="N73" s="76"/>
      <c r="O73" s="110">
        <f>L81</f>
        <v>768041.18338876171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429382.89869550191</v>
      </c>
      <c r="G74" s="34"/>
      <c r="H74" s="76"/>
      <c r="I74" s="110">
        <f>F82</f>
        <v>551035.93125264696</v>
      </c>
      <c r="J74" s="34"/>
      <c r="K74" s="76"/>
      <c r="L74" s="110">
        <f>I82</f>
        <v>614765.61379509559</v>
      </c>
      <c r="M74" s="34"/>
      <c r="N74" s="76"/>
      <c r="O74" s="110">
        <f>L82</f>
        <v>543054.66429837281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1085390.1669000001</v>
      </c>
      <c r="G75" s="34"/>
      <c r="H75" s="76"/>
      <c r="I75" s="111">
        <f>SUM(I73:I74)</f>
        <v>1155940.5277485</v>
      </c>
      <c r="J75" s="34"/>
      <c r="K75" s="76"/>
      <c r="L75" s="111">
        <f>SUM(L73:L74)</f>
        <v>1231076.6620521524</v>
      </c>
      <c r="M75" s="34"/>
      <c r="N75" s="76"/>
      <c r="O75" s="111">
        <f>SUM(O73:O74)</f>
        <v>1311095.8476871345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1.1611006957065038</v>
      </c>
      <c r="G76" s="81"/>
      <c r="H76" s="82"/>
      <c r="I76" s="112">
        <f>I72/I75</f>
        <v>1.2776845015450076</v>
      </c>
      <c r="J76" s="81"/>
      <c r="K76" s="82"/>
      <c r="L76" s="112">
        <f>L72/L75</f>
        <v>1.0649993522755874</v>
      </c>
      <c r="M76" s="81"/>
      <c r="N76" s="82"/>
      <c r="O76" s="112">
        <f>O72/O75</f>
        <v>1.06500008515098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1155940.5277485</v>
      </c>
      <c r="G78" s="73"/>
      <c r="H78" s="73"/>
      <c r="I78" s="115">
        <f>IF(I72&lt;=I75*I71,I72,I75*I71)</f>
        <v>1231076.6620521524</v>
      </c>
      <c r="J78" s="73"/>
      <c r="K78" s="73"/>
      <c r="L78" s="115">
        <f>IF(L72&lt;=L75*L71,L72,L75*L71)</f>
        <v>1311095.8476871345</v>
      </c>
      <c r="M78" s="73"/>
      <c r="N78" s="73"/>
      <c r="O78" s="115">
        <f>IF(O72&lt;=O75*O71,O72,O75*O71)</f>
        <v>1396317.0777867981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104306.75015208824</v>
      </c>
      <c r="G79" s="34"/>
      <c r="H79" s="76"/>
      <c r="I79" s="117">
        <f>IF(I76&lt;=I71,0,I72-I78)</f>
        <v>245850.6349598628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0.11164109641686082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604904.59649585304</v>
      </c>
      <c r="E81" s="120">
        <f>E23</f>
        <v>0</v>
      </c>
      <c r="F81" s="115">
        <f>D81+E81</f>
        <v>604904.59649585304</v>
      </c>
      <c r="G81" s="119">
        <f>G23-I79</f>
        <v>616311.04825705686</v>
      </c>
      <c r="H81" s="120">
        <f>H23</f>
        <v>0</v>
      </c>
      <c r="I81" s="115">
        <f>G81+H81</f>
        <v>616311.04825705686</v>
      </c>
      <c r="J81" s="119">
        <f>J23-L79</f>
        <v>768041.18338876171</v>
      </c>
      <c r="K81" s="120">
        <f>K23</f>
        <v>0</v>
      </c>
      <c r="L81" s="115">
        <f>J81+K81</f>
        <v>768041.18338876171</v>
      </c>
      <c r="M81" s="119">
        <f>M23-O79</f>
        <v>866217.96799766528</v>
      </c>
      <c r="N81" s="120">
        <f>N23</f>
        <v>0</v>
      </c>
      <c r="O81" s="115">
        <f>M81+N81</f>
        <v>866217.96799766528</v>
      </c>
    </row>
    <row r="82" spans="1:52" s="14" customFormat="1" ht="20" customHeight="1" thickBot="1">
      <c r="B82" s="118" t="s">
        <v>72</v>
      </c>
      <c r="D82" s="121">
        <f>D50-D81-F79</f>
        <v>551035.93125264696</v>
      </c>
      <c r="E82" s="122">
        <f>E50-E81</f>
        <v>0</v>
      </c>
      <c r="F82" s="123">
        <f>D82+E82</f>
        <v>551035.93125264696</v>
      </c>
      <c r="G82" s="121">
        <f>G49-G81-I79</f>
        <v>614765.61379509559</v>
      </c>
      <c r="H82" s="122">
        <f>H50-H81</f>
        <v>0</v>
      </c>
      <c r="I82" s="123">
        <f>G82+H82</f>
        <v>614765.61379509559</v>
      </c>
      <c r="J82" s="121">
        <f>J50-J81-L79</f>
        <v>543054.66429837281</v>
      </c>
      <c r="K82" s="122">
        <f>K50-K81</f>
        <v>0</v>
      </c>
      <c r="L82" s="123">
        <f>J82+K82</f>
        <v>543054.66429837281</v>
      </c>
      <c r="M82" s="121">
        <f>M49-M81-O79</f>
        <v>530099.10978913284</v>
      </c>
      <c r="N82" s="122">
        <f>N50-N81</f>
        <v>0</v>
      </c>
      <c r="O82" s="123">
        <f>M82+N82</f>
        <v>530099.10978913284</v>
      </c>
    </row>
    <row r="83" spans="1:52" s="124" customFormat="1" ht="17.25" customHeight="1" thickBot="1">
      <c r="B83" s="125" t="s">
        <v>73</v>
      </c>
      <c r="C83" s="14"/>
      <c r="D83" s="126">
        <f>SUM(D81:D82)</f>
        <v>1155940.5277485</v>
      </c>
      <c r="E83" s="127">
        <f t="shared" ref="E83:O83" si="25">SUM(E81:E82)</f>
        <v>0</v>
      </c>
      <c r="F83" s="128">
        <f t="shared" si="25"/>
        <v>1155940.5277485</v>
      </c>
      <c r="G83" s="126">
        <f t="shared" si="25"/>
        <v>1231076.6620521524</v>
      </c>
      <c r="H83" s="127">
        <f t="shared" si="25"/>
        <v>0</v>
      </c>
      <c r="I83" s="128">
        <f t="shared" si="25"/>
        <v>1231076.6620521524</v>
      </c>
      <c r="J83" s="126">
        <f t="shared" si="25"/>
        <v>1311095.8476871345</v>
      </c>
      <c r="K83" s="127">
        <f t="shared" si="25"/>
        <v>0</v>
      </c>
      <c r="L83" s="128">
        <f t="shared" si="25"/>
        <v>1311095.8476871345</v>
      </c>
      <c r="M83" s="126">
        <f t="shared" si="25"/>
        <v>1396317.0777867981</v>
      </c>
      <c r="N83" s="127">
        <f t="shared" si="25"/>
        <v>0</v>
      </c>
      <c r="O83" s="128">
        <f t="shared" si="25"/>
        <v>1396317.0777867981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604904.59649585304</v>
      </c>
      <c r="G88" s="72"/>
      <c r="H88" s="73"/>
      <c r="I88" s="136">
        <f>I81-I85</f>
        <v>616311.04825705686</v>
      </c>
      <c r="J88" s="72"/>
      <c r="K88" s="73"/>
      <c r="L88" s="136">
        <f>L81-L85</f>
        <v>768041.18338876171</v>
      </c>
      <c r="M88" s="72"/>
      <c r="N88" s="73"/>
      <c r="O88" s="136">
        <f>O81-O85</f>
        <v>866217.96799766528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551035.93125264696</v>
      </c>
      <c r="G89" s="34"/>
      <c r="H89" s="76"/>
      <c r="I89" s="138">
        <f>I82-I86</f>
        <v>614765.61379509559</v>
      </c>
      <c r="J89" s="34"/>
      <c r="K89" s="76"/>
      <c r="L89" s="138">
        <f>L82-L86</f>
        <v>543054.66429837281</v>
      </c>
      <c r="M89" s="34"/>
      <c r="N89" s="76"/>
      <c r="O89" s="138">
        <f>O82-O86</f>
        <v>530099.10978913284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1155940.5277485</v>
      </c>
      <c r="G90" s="81"/>
      <c r="H90" s="82"/>
      <c r="I90" s="139">
        <f>+I88+I89</f>
        <v>1231076.6620521524</v>
      </c>
      <c r="J90" s="81"/>
      <c r="K90" s="82"/>
      <c r="L90" s="139">
        <f>+L88+L89</f>
        <v>1311095.8476871345</v>
      </c>
      <c r="M90" s="81"/>
      <c r="N90" s="82"/>
      <c r="O90" s="139">
        <f>+O88+O89</f>
        <v>1396317.0777867981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-195.23196079047193</v>
      </c>
      <c r="E92" s="143">
        <v>0</v>
      </c>
      <c r="F92" s="144">
        <f>D92+E92</f>
        <v>-195.23196079047193</v>
      </c>
      <c r="G92" s="142">
        <v>-9255.1407496169159</v>
      </c>
      <c r="H92" s="143">
        <v>0</v>
      </c>
      <c r="I92" s="144">
        <f>G92+H92</f>
        <v>-9255.1407496169159</v>
      </c>
      <c r="J92" s="142">
        <v>-9255.1407496169159</v>
      </c>
      <c r="K92" s="143">
        <v>0</v>
      </c>
      <c r="L92" s="144">
        <f>J92+K92</f>
        <v>-9255.1407496169159</v>
      </c>
      <c r="M92" s="142">
        <v>-9255.1407496169159</v>
      </c>
      <c r="N92" s="143">
        <v>0</v>
      </c>
      <c r="O92" s="144">
        <f>M92+N92</f>
        <v>-9255.1407496169159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1261439.7086656606</v>
      </c>
      <c r="E96" s="166">
        <f>E6+E7+E8+E9+E11+E25+E30+E40+E42+E21+E45</f>
        <v>0</v>
      </c>
      <c r="F96" s="166">
        <f t="shared" ref="F96" si="26">F6+F7+F8+F9+F11+F25+F30+F40+F42</f>
        <v>1261439.7086656606</v>
      </c>
      <c r="G96" s="166">
        <f t="shared" ref="G96" si="27">G6+G7+G8+G9+G11+G25+G30+G40+G42+G21+G45</f>
        <v>1282021.1703558189</v>
      </c>
      <c r="H96" s="166">
        <f t="shared" ref="H96" si="28">H6+H7+H8+H9+H11+H25+H30+H40+H42</f>
        <v>0</v>
      </c>
      <c r="I96" s="166">
        <f t="shared" ref="I96" si="29">I6+I7+I8+I9+I11+I25+I30+I40+I42+I21+I45</f>
        <v>1282021.1703558189</v>
      </c>
      <c r="J96" s="166">
        <f t="shared" ref="J96" si="30">J6+J7+J8+J9+J11+J25+J30+J40+J42</f>
        <v>1277920.8571772738</v>
      </c>
      <c r="K96" s="166">
        <f t="shared" ref="K96" si="31">K6+K7+K8+K9+K11+K25+K30+K40+K42+K21+K45</f>
        <v>0</v>
      </c>
      <c r="L96" s="166">
        <f t="shared" ref="L96" si="32">L6+L7+L8+L9+L11+L25+L30+L40+L42</f>
        <v>1277920.8571772738</v>
      </c>
      <c r="M96" s="166">
        <f t="shared" ref="M96" si="33">M6+M7+M8+M9+M11+M25+M30+M40+M42+M21+M45</f>
        <v>1266287.8301680335</v>
      </c>
      <c r="N96" s="166">
        <f t="shared" ref="N96" si="34">N6+N7+N8+N9+N11+N25+N30+N40+N42</f>
        <v>0</v>
      </c>
      <c r="O96" s="166">
        <f t="shared" ref="O96" si="35">O6+O7+O8+O9+O11+O25+O30+O40+O42+O21+O45</f>
        <v>1266287.8301680335</v>
      </c>
    </row>
    <row r="97" spans="4:15" s="14" customFormat="1">
      <c r="D97" s="166">
        <f>D96-D15-D19</f>
        <v>1216602.2752847814</v>
      </c>
      <c r="E97" s="166">
        <f>E96-E15-E19</f>
        <v>0</v>
      </c>
      <c r="F97" s="166">
        <f t="shared" ref="F97:O97" si="36">F96-F15-F19</f>
        <v>1216602.2752847814</v>
      </c>
      <c r="G97" s="166">
        <f t="shared" si="36"/>
        <v>1237228.52961568</v>
      </c>
      <c r="H97" s="166">
        <f t="shared" si="36"/>
        <v>0</v>
      </c>
      <c r="I97" s="166">
        <f t="shared" si="36"/>
        <v>1237228.52961568</v>
      </c>
      <c r="J97" s="166">
        <f t="shared" si="36"/>
        <v>1233128.2164371349</v>
      </c>
      <c r="K97" s="166">
        <f t="shared" si="36"/>
        <v>0</v>
      </c>
      <c r="L97" s="166">
        <f t="shared" si="36"/>
        <v>1233128.2164371349</v>
      </c>
      <c r="M97" s="166">
        <f t="shared" si="36"/>
        <v>1221495.1894278945</v>
      </c>
      <c r="N97" s="166">
        <f t="shared" si="36"/>
        <v>0</v>
      </c>
      <c r="O97" s="166">
        <f t="shared" si="36"/>
        <v>1221495.1894278945</v>
      </c>
    </row>
    <row r="98" spans="4:15" s="14" customFormat="1">
      <c r="D98" s="166">
        <f>D20+D44</f>
        <v>43645.002615806661</v>
      </c>
      <c r="E98" s="166">
        <f>E20+E44</f>
        <v>0</v>
      </c>
      <c r="F98" s="166">
        <f t="shared" ref="F98:O98" si="37">F20+F44</f>
        <v>43645.002615806661</v>
      </c>
      <c r="G98" s="166">
        <f t="shared" si="37"/>
        <v>239698.76739633572</v>
      </c>
      <c r="H98" s="166">
        <f t="shared" si="37"/>
        <v>0</v>
      </c>
      <c r="I98" s="166">
        <f t="shared" si="37"/>
        <v>239698.76739633572</v>
      </c>
      <c r="J98" s="166">
        <f t="shared" si="37"/>
        <v>24877.631250000002</v>
      </c>
      <c r="K98" s="166">
        <f t="shared" si="37"/>
        <v>0</v>
      </c>
      <c r="L98" s="166">
        <f t="shared" si="37"/>
        <v>24877.631250000002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80" priority="7" operator="containsText" text="ERRORE">
      <formula>NOT(ISERROR(SEARCH("ERRORE",F81)))</formula>
    </cfRule>
  </conditionalFormatting>
  <conditionalFormatting sqref="I83">
    <cfRule type="containsText" dxfId="179" priority="6" operator="containsText" text="ERRORE">
      <formula>NOT(ISERROR(SEARCH("ERRORE",I83)))</formula>
    </cfRule>
  </conditionalFormatting>
  <conditionalFormatting sqref="I81:I82">
    <cfRule type="containsText" dxfId="178" priority="5" operator="containsText" text="ERRORE">
      <formula>NOT(ISERROR(SEARCH("ERRORE",I81)))</formula>
    </cfRule>
  </conditionalFormatting>
  <conditionalFormatting sqref="L83">
    <cfRule type="containsText" dxfId="177" priority="4" operator="containsText" text="ERRORE">
      <formula>NOT(ISERROR(SEARCH("ERRORE",L83)))</formula>
    </cfRule>
  </conditionalFormatting>
  <conditionalFormatting sqref="L81:L82">
    <cfRule type="containsText" dxfId="176" priority="3" operator="containsText" text="ERRORE">
      <formula>NOT(ISERROR(SEARCH("ERRORE",L81)))</formula>
    </cfRule>
  </conditionalFormatting>
  <conditionalFormatting sqref="O83">
    <cfRule type="containsText" dxfId="175" priority="2" operator="containsText" text="ERRORE">
      <formula>NOT(ISERROR(SEARCH("ERRORE",O83)))</formula>
    </cfRule>
  </conditionalFormatting>
  <conditionalFormatting sqref="O81:O82">
    <cfRule type="containsText" dxfId="174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F82" zoomScale="70" zoomScaleNormal="70" zoomScalePageLayoutView="70" workbookViewId="0">
      <selection activeCell="P89" sqref="P89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93</v>
      </c>
      <c r="B1" s="2" t="str">
        <f>"       PEF 2022 - 2025"&amp;" - "&amp;A1</f>
        <v xml:space="preserve">       PEF 2022 - 2025 - Fossalta di Piave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146</v>
      </c>
      <c r="E4" s="188"/>
      <c r="F4" s="189"/>
      <c r="G4" s="187" t="str">
        <f>D4</f>
        <v>Ambito tariffario: FOSSALTA DI PIAVE</v>
      </c>
      <c r="H4" s="188"/>
      <c r="I4" s="189"/>
      <c r="J4" s="187" t="str">
        <f>D4</f>
        <v>Ambito tariffario: FOSSALTA DI PIAVE</v>
      </c>
      <c r="K4" s="188"/>
      <c r="L4" s="189"/>
      <c r="M4" s="187" t="str">
        <f>D4</f>
        <v>Ambito tariffario: FOSSALTA DI PIAVE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52228.181074912813</v>
      </c>
      <c r="E6" s="22">
        <v>0</v>
      </c>
      <c r="F6" s="23">
        <f>D6+E6</f>
        <v>52228.181074912813</v>
      </c>
      <c r="G6" s="22">
        <v>52990.081183872018</v>
      </c>
      <c r="H6" s="22">
        <v>0</v>
      </c>
      <c r="I6" s="23">
        <f>G6+H6</f>
        <v>52990.081183872018</v>
      </c>
      <c r="J6" s="22">
        <v>52990.081183872018</v>
      </c>
      <c r="K6" s="22">
        <v>0</v>
      </c>
      <c r="L6" s="23">
        <f>J6+K6</f>
        <v>52990.081183872018</v>
      </c>
      <c r="M6" s="22">
        <v>52990.081183872018</v>
      </c>
      <c r="N6" s="22">
        <v>0</v>
      </c>
      <c r="O6" s="23">
        <f>M6+N6</f>
        <v>52990.081183872018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38569.715033221146</v>
      </c>
      <c r="E7" s="22">
        <v>0</v>
      </c>
      <c r="F7" s="23">
        <f t="shared" ref="F7:F20" si="0">D7+E7</f>
        <v>38569.715033221146</v>
      </c>
      <c r="G7" s="22">
        <v>40374.063863197327</v>
      </c>
      <c r="H7" s="22">
        <v>0</v>
      </c>
      <c r="I7" s="23">
        <f t="shared" ref="I7:I13" si="1">G7+H7</f>
        <v>40374.063863197327</v>
      </c>
      <c r="J7" s="22">
        <v>40374.063863197327</v>
      </c>
      <c r="K7" s="22">
        <v>0</v>
      </c>
      <c r="L7" s="23">
        <f t="shared" ref="L7:L12" si="2">J7+K7</f>
        <v>40374.063863197327</v>
      </c>
      <c r="M7" s="22">
        <v>40374.063863197327</v>
      </c>
      <c r="N7" s="22">
        <v>0</v>
      </c>
      <c r="O7" s="23">
        <f t="shared" ref="O7:O13" si="3">M7+N7</f>
        <v>40374.063863197327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99270.06173604721</v>
      </c>
      <c r="E8" s="22">
        <v>0</v>
      </c>
      <c r="F8" s="23">
        <f t="shared" si="0"/>
        <v>99270.06173604721</v>
      </c>
      <c r="G8" s="22">
        <v>103916.49791832596</v>
      </c>
      <c r="H8" s="22">
        <v>0</v>
      </c>
      <c r="I8" s="23">
        <f t="shared" si="1"/>
        <v>103916.49791832596</v>
      </c>
      <c r="J8" s="22">
        <v>103916.49791832596</v>
      </c>
      <c r="K8" s="22">
        <v>0</v>
      </c>
      <c r="L8" s="23">
        <f t="shared" si="2"/>
        <v>103916.49791832596</v>
      </c>
      <c r="M8" s="22">
        <v>103916.49791832596</v>
      </c>
      <c r="N8" s="22">
        <v>0</v>
      </c>
      <c r="O8" s="23">
        <f t="shared" si="3"/>
        <v>103916.49791832596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116153.17472985746</v>
      </c>
      <c r="E9" s="22">
        <v>0</v>
      </c>
      <c r="F9" s="23">
        <f t="shared" si="0"/>
        <v>116153.17472985746</v>
      </c>
      <c r="G9" s="22">
        <v>119433.78168426325</v>
      </c>
      <c r="H9" s="22">
        <v>0</v>
      </c>
      <c r="I9" s="23">
        <f t="shared" si="1"/>
        <v>119433.78168426325</v>
      </c>
      <c r="J9" s="22">
        <v>119433.78168426325</v>
      </c>
      <c r="K9" s="22">
        <v>0</v>
      </c>
      <c r="L9" s="23">
        <f t="shared" si="2"/>
        <v>119433.78168426325</v>
      </c>
      <c r="M9" s="22">
        <v>119433.78168426325</v>
      </c>
      <c r="N9" s="22">
        <v>0</v>
      </c>
      <c r="O9" s="23">
        <f t="shared" si="3"/>
        <v>119433.78168426325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1562.9072090743248</v>
      </c>
      <c r="E11" s="22">
        <v>0</v>
      </c>
      <c r="F11" s="23">
        <f t="shared" si="0"/>
        <v>1562.9072090743248</v>
      </c>
      <c r="G11" s="22">
        <v>1562.9072090743248</v>
      </c>
      <c r="H11" s="22">
        <v>0</v>
      </c>
      <c r="I11" s="23">
        <f t="shared" si="1"/>
        <v>1562.9072090743248</v>
      </c>
      <c r="J11" s="22">
        <v>1562.9072090743248</v>
      </c>
      <c r="K11" s="22">
        <v>0</v>
      </c>
      <c r="L11" s="23">
        <f t="shared" si="2"/>
        <v>1562.9072090743248</v>
      </c>
      <c r="M11" s="22">
        <v>1562.9072090743248</v>
      </c>
      <c r="N11" s="22">
        <v>0</v>
      </c>
      <c r="O11" s="23">
        <f t="shared" si="3"/>
        <v>1562.9072090743248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48610.522695003456</v>
      </c>
      <c r="E13" s="22">
        <v>0</v>
      </c>
      <c r="F13" s="23">
        <f t="shared" si="0"/>
        <v>48610.522695003456</v>
      </c>
      <c r="G13" s="22">
        <v>48561.960734269196</v>
      </c>
      <c r="H13" s="22">
        <v>0</v>
      </c>
      <c r="I13" s="23">
        <f t="shared" si="1"/>
        <v>48561.960734269196</v>
      </c>
      <c r="J13" s="22">
        <v>48561.960734269196</v>
      </c>
      <c r="K13" s="22">
        <v>0</v>
      </c>
      <c r="L13" s="23">
        <f>J13+K13</f>
        <v>48561.960734269196</v>
      </c>
      <c r="M13" s="22">
        <v>48561.960734269196</v>
      </c>
      <c r="N13" s="22">
        <v>0</v>
      </c>
      <c r="O13" s="23">
        <f t="shared" si="3"/>
        <v>48561.960734269196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29166.313617002073</v>
      </c>
      <c r="E15" s="22">
        <v>0</v>
      </c>
      <c r="F15" s="23">
        <f t="shared" si="0"/>
        <v>29166.313617002073</v>
      </c>
      <c r="G15" s="22">
        <v>29137.176440561518</v>
      </c>
      <c r="H15" s="22">
        <v>0</v>
      </c>
      <c r="I15" s="23">
        <f t="shared" ref="I15:I16" si="4">G15+H15</f>
        <v>29137.176440561518</v>
      </c>
      <c r="J15" s="22">
        <v>29137.176440561518</v>
      </c>
      <c r="K15" s="22">
        <v>0</v>
      </c>
      <c r="L15" s="23">
        <f t="shared" ref="L15:L16" si="5">J15+K15</f>
        <v>29137.176440561518</v>
      </c>
      <c r="M15" s="22">
        <v>29137.176440561518</v>
      </c>
      <c r="N15" s="22">
        <v>0</v>
      </c>
      <c r="O15" s="23">
        <f t="shared" ref="O15:O16" si="6">M15+N15</f>
        <v>29137.176440561518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566.70614230822412</v>
      </c>
      <c r="E16" s="22">
        <v>0</v>
      </c>
      <c r="F16" s="23">
        <f t="shared" si="0"/>
        <v>566.70614230822412</v>
      </c>
      <c r="G16" s="22">
        <v>566.14000230591819</v>
      </c>
      <c r="H16" s="22">
        <v>0</v>
      </c>
      <c r="I16" s="23">
        <f t="shared" si="4"/>
        <v>566.14000230591819</v>
      </c>
      <c r="J16" s="22">
        <v>566.14000230591819</v>
      </c>
      <c r="K16" s="22">
        <v>0</v>
      </c>
      <c r="L16" s="23">
        <f t="shared" si="5"/>
        <v>566.14000230591819</v>
      </c>
      <c r="M16" s="22">
        <v>566.14000230591819</v>
      </c>
      <c r="N16" s="22">
        <v>0</v>
      </c>
      <c r="O16" s="23">
        <f t="shared" si="6"/>
        <v>566.14000230591819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374.02605392342792</v>
      </c>
      <c r="E19" s="22">
        <v>0</v>
      </c>
      <c r="F19" s="23">
        <f t="shared" si="0"/>
        <v>374.02605392342792</v>
      </c>
      <c r="G19" s="22">
        <v>373.65240152190603</v>
      </c>
      <c r="H19" s="22">
        <v>0</v>
      </c>
      <c r="I19" s="23">
        <f t="shared" ref="I19:I20" si="7">G19+H19</f>
        <v>373.65240152190603</v>
      </c>
      <c r="J19" s="22">
        <v>373.65240152190603</v>
      </c>
      <c r="K19" s="22">
        <v>0</v>
      </c>
      <c r="L19" s="23">
        <f t="shared" ref="L19:L20" si="8">J19+K19</f>
        <v>373.65240152190603</v>
      </c>
      <c r="M19" s="32">
        <v>373.65240152190603</v>
      </c>
      <c r="N19" s="33">
        <v>0</v>
      </c>
      <c r="O19" s="23">
        <f t="shared" ref="O19:O20" si="9">M19+N19</f>
        <v>373.65240152190603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22">
        <v>0</v>
      </c>
      <c r="F20" s="23">
        <f t="shared" si="0"/>
        <v>0</v>
      </c>
      <c r="G20" s="22">
        <v>-13872.218738003052</v>
      </c>
      <c r="H20" s="22">
        <v>0</v>
      </c>
      <c r="I20" s="23">
        <f t="shared" si="7"/>
        <v>-13872.218738003052</v>
      </c>
      <c r="J20" s="22">
        <v>-20270.976500000004</v>
      </c>
      <c r="K20" s="22">
        <v>0</v>
      </c>
      <c r="L20" s="23">
        <f t="shared" si="8"/>
        <v>-20270.976500000004</v>
      </c>
      <c r="M20" s="22">
        <v>-37500</v>
      </c>
      <c r="N20" s="22">
        <v>0</v>
      </c>
      <c r="O20" s="23">
        <f t="shared" si="9"/>
        <v>-37500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/>
      <c r="F21" s="23">
        <f>E21</f>
        <v>0</v>
      </c>
      <c r="G21" s="34"/>
      <c r="H21" s="22"/>
      <c r="I21" s="23">
        <f>H21</f>
        <v>0</v>
      </c>
      <c r="J21" s="34"/>
      <c r="K21" s="22"/>
      <c r="L21" s="23">
        <f>K21</f>
        <v>0</v>
      </c>
      <c r="M21" s="34"/>
      <c r="N21" s="22"/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278243.70011218742</v>
      </c>
      <c r="E23" s="38">
        <f>E6+E7+E8+E9+E10+E11+E12-E15-E19+E20+E21</f>
        <v>0</v>
      </c>
      <c r="F23" s="38">
        <f>D23+E23</f>
        <v>278243.70011218742</v>
      </c>
      <c r="G23" s="38">
        <f>G6+G7+G8+G9+G10+G11+G12-G15-G19+G20+G22</f>
        <v>274894.28427864634</v>
      </c>
      <c r="H23" s="38">
        <f>H6+H7+H8+H9+H10+H11+H12-H15-H19+H20+H21+H22</f>
        <v>0</v>
      </c>
      <c r="I23" s="38">
        <f>G23+H23</f>
        <v>274894.28427864634</v>
      </c>
      <c r="J23" s="38">
        <f>J6+J7+J8+J9+J10+J11+J12-J15-J19+J20+J22</f>
        <v>268495.52651664941</v>
      </c>
      <c r="K23" s="38">
        <f>K6+K7+K8+K9+K10+K11+K12-K15-K19+K20+K21+K22</f>
        <v>0</v>
      </c>
      <c r="L23" s="38">
        <f>J23+K23</f>
        <v>268495.52651664941</v>
      </c>
      <c r="M23" s="38">
        <f>M6+M7+M8+M9+M10+M11+M12-M15-M19+M20+M22</f>
        <v>251266.5030166494</v>
      </c>
      <c r="N23" s="38">
        <f>N6+N7+N8+N9+N10+N11+N12-N15-N19+N20+N21+N22</f>
        <v>0</v>
      </c>
      <c r="O23" s="38">
        <f>M23+N23</f>
        <v>251266.5030166494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60755.050299942071</v>
      </c>
      <c r="E25" s="44">
        <v>0</v>
      </c>
      <c r="F25" s="45">
        <f t="shared" ref="F25:F44" si="13">D25+E25</f>
        <v>60755.050299942071</v>
      </c>
      <c r="G25" s="44">
        <v>63504.641764183267</v>
      </c>
      <c r="H25" s="44">
        <v>0</v>
      </c>
      <c r="I25" s="45">
        <f t="shared" ref="I25:I33" si="14">G25+H25</f>
        <v>63504.641764183267</v>
      </c>
      <c r="J25" s="44">
        <v>63504.641764183267</v>
      </c>
      <c r="K25" s="44">
        <v>0</v>
      </c>
      <c r="L25" s="45">
        <f t="shared" ref="L25:L44" si="15">J25+K25</f>
        <v>63504.641764183267</v>
      </c>
      <c r="M25" s="44">
        <v>63504.641764183267</v>
      </c>
      <c r="N25" s="44">
        <v>0</v>
      </c>
      <c r="O25" s="45">
        <f t="shared" ref="O25:O43" si="16">M25+N25</f>
        <v>63504.641764183267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15421.336100348659</v>
      </c>
      <c r="E26" s="22">
        <v>0</v>
      </c>
      <c r="F26" s="36">
        <f t="shared" si="13"/>
        <v>15421.336100348659</v>
      </c>
      <c r="G26" s="22">
        <v>15873.091922265347</v>
      </c>
      <c r="H26" s="22">
        <v>0</v>
      </c>
      <c r="I26" s="36">
        <f t="shared" si="14"/>
        <v>15873.091922265347</v>
      </c>
      <c r="J26" s="22">
        <v>15873.091922265347</v>
      </c>
      <c r="K26" s="22">
        <v>0</v>
      </c>
      <c r="L26" s="36">
        <f t="shared" si="15"/>
        <v>15873.091922265347</v>
      </c>
      <c r="M26" s="22">
        <v>15873.091922265347</v>
      </c>
      <c r="N26" s="22">
        <v>0</v>
      </c>
      <c r="O26" s="36">
        <f t="shared" si="16"/>
        <v>15873.091922265347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40623.374339065864</v>
      </c>
      <c r="E27" s="47">
        <v>0</v>
      </c>
      <c r="F27" s="48">
        <f t="shared" si="13"/>
        <v>40623.374339065864</v>
      </c>
      <c r="G27" s="47">
        <v>42187.633678274658</v>
      </c>
      <c r="H27" s="47">
        <v>0</v>
      </c>
      <c r="I27" s="48">
        <f t="shared" si="14"/>
        <v>42187.633678274658</v>
      </c>
      <c r="J27" s="47">
        <v>42187.633678274658</v>
      </c>
      <c r="K27" s="47">
        <v>0</v>
      </c>
      <c r="L27" s="48">
        <f t="shared" si="15"/>
        <v>42187.633678274658</v>
      </c>
      <c r="M27" s="47">
        <v>42187.633678274658</v>
      </c>
      <c r="N27" s="47">
        <v>0</v>
      </c>
      <c r="O27" s="48">
        <f t="shared" si="16"/>
        <v>42187.633678274658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3586.7349538533817</v>
      </c>
      <c r="E29" s="47">
        <v>0</v>
      </c>
      <c r="F29" s="48">
        <f t="shared" si="13"/>
        <v>3586.7349538533817</v>
      </c>
      <c r="G29" s="47">
        <v>3612.5026256261003</v>
      </c>
      <c r="H29" s="47">
        <v>0</v>
      </c>
      <c r="I29" s="48">
        <f t="shared" si="14"/>
        <v>3612.5026256261003</v>
      </c>
      <c r="J29" s="47">
        <v>3612.5026256261003</v>
      </c>
      <c r="K29" s="47">
        <v>0</v>
      </c>
      <c r="L29" s="48">
        <f t="shared" si="15"/>
        <v>3612.5026256261003</v>
      </c>
      <c r="M29" s="47">
        <v>3612.5026256261003</v>
      </c>
      <c r="N29" s="47">
        <v>0</v>
      </c>
      <c r="O29" s="48">
        <f t="shared" si="16"/>
        <v>3612.5026256261003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59631.445393267903</v>
      </c>
      <c r="E30" s="51">
        <f>+E26+E27+E28+E29</f>
        <v>0</v>
      </c>
      <c r="F30" s="52">
        <f t="shared" si="13"/>
        <v>59631.445393267903</v>
      </c>
      <c r="G30" s="51">
        <f>+G26+G27+G28+G29</f>
        <v>61673.228226166102</v>
      </c>
      <c r="H30" s="51">
        <f>+H26+H27+H28+H29</f>
        <v>0</v>
      </c>
      <c r="I30" s="52">
        <f t="shared" si="14"/>
        <v>61673.228226166102</v>
      </c>
      <c r="J30" s="51">
        <f>+J26+J27+J28+J29</f>
        <v>61673.228226166102</v>
      </c>
      <c r="K30" s="51">
        <f>+K26+K27+K28+K29</f>
        <v>0</v>
      </c>
      <c r="L30" s="52">
        <f t="shared" si="15"/>
        <v>61673.228226166102</v>
      </c>
      <c r="M30" s="51">
        <f>+M26+M27+M28+M29</f>
        <v>61673.228226166102</v>
      </c>
      <c r="N30" s="51">
        <f>+N26+N27+N28+N29</f>
        <v>0</v>
      </c>
      <c r="O30" s="52">
        <f t="shared" si="16"/>
        <v>61673.228226166102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97485.549325107102</v>
      </c>
      <c r="E31" s="53">
        <v>0</v>
      </c>
      <c r="F31" s="48">
        <f t="shared" si="13"/>
        <v>97485.549325107102</v>
      </c>
      <c r="G31" s="147">
        <f>VLOOKUP($A$1,REM_ToolEnrico!$B$5:$J$38,4,FALSE)</f>
        <v>55837.761623805076</v>
      </c>
      <c r="H31" s="53">
        <v>0</v>
      </c>
      <c r="I31" s="48">
        <f t="shared" si="14"/>
        <v>55837.761623805076</v>
      </c>
      <c r="J31" s="147">
        <f>VLOOKUP($A$1,REM_ToolEnrico!$B$5:$J$38,6,FALSE)</f>
        <v>42194.685694987522</v>
      </c>
      <c r="K31" s="53">
        <v>0</v>
      </c>
      <c r="L31" s="48">
        <f t="shared" si="15"/>
        <v>42194.685694987522</v>
      </c>
      <c r="M31" s="147">
        <f>VLOOKUP($A$1,REM_ToolEnrico!$B$5:$J$38,8,FALSE)</f>
        <v>39210.623739853792</v>
      </c>
      <c r="N31" s="53">
        <v>0</v>
      </c>
      <c r="O31" s="48">
        <f t="shared" si="16"/>
        <v>39210.623739853792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38561.56434965635</v>
      </c>
      <c r="E32" s="54">
        <f>+E33+E34+E35+E36</f>
        <v>0</v>
      </c>
      <c r="F32" s="48">
        <f t="shared" si="13"/>
        <v>38561.56434965635</v>
      </c>
      <c r="G32" s="54">
        <f>+G33+G34+G35+G36</f>
        <v>38523.041308348009</v>
      </c>
      <c r="H32" s="54">
        <f>+H33+H34+H35+H36</f>
        <v>0</v>
      </c>
      <c r="I32" s="48">
        <f t="shared" si="14"/>
        <v>38523.041308348009</v>
      </c>
      <c r="J32" s="54">
        <f>+J33+J34+J35+J36</f>
        <v>38523.041308348009</v>
      </c>
      <c r="K32" s="54">
        <f>+K33+K34+K35+K36</f>
        <v>0</v>
      </c>
      <c r="L32" s="48">
        <f t="shared" si="15"/>
        <v>38523.041308348009</v>
      </c>
      <c r="M32" s="54">
        <f>+M33+M34+M35+M36</f>
        <v>38523.041308348009</v>
      </c>
      <c r="N32" s="54">
        <f>+N33+N34+N35+N36</f>
        <v>0</v>
      </c>
      <c r="O32" s="48">
        <f t="shared" si="16"/>
        <v>38523.041308348009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38561.56434965635</v>
      </c>
      <c r="E34" s="47">
        <v>0</v>
      </c>
      <c r="F34" s="48">
        <f>D34+E34</f>
        <v>38561.56434965635</v>
      </c>
      <c r="G34" s="47">
        <v>38523.041308348009</v>
      </c>
      <c r="H34" s="47">
        <v>0</v>
      </c>
      <c r="I34" s="48">
        <f>G34+H34</f>
        <v>38523.041308348009</v>
      </c>
      <c r="J34" s="47">
        <v>38523.041308348009</v>
      </c>
      <c r="K34" s="158">
        <v>0</v>
      </c>
      <c r="L34" s="48">
        <f t="shared" si="15"/>
        <v>38523.041308348009</v>
      </c>
      <c r="M34" s="47">
        <v>38523.041308348009</v>
      </c>
      <c r="N34" s="158">
        <v>0</v>
      </c>
      <c r="O34" s="48">
        <f t="shared" si="16"/>
        <v>38523.041308348009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22494.519505896704</v>
      </c>
      <c r="E37" s="47">
        <v>0</v>
      </c>
      <c r="F37" s="48">
        <f t="shared" si="13"/>
        <v>22494.519505896704</v>
      </c>
      <c r="G37" s="147">
        <f>VLOOKUP($A$1,REM_ToolEnrico!$B$5:$J$38,5,FALSE)</f>
        <v>16594.549874059969</v>
      </c>
      <c r="H37" s="47">
        <v>0</v>
      </c>
      <c r="I37" s="48">
        <f t="shared" si="17"/>
        <v>16594.549874059969</v>
      </c>
      <c r="J37" s="147">
        <f>VLOOKUP($A$1,REM_ToolEnrico!$B$5:$J$38,7,FALSE)</f>
        <v>14007.445224011644</v>
      </c>
      <c r="K37" s="47">
        <v>0</v>
      </c>
      <c r="L37" s="48">
        <f t="shared" si="15"/>
        <v>14007.445224011644</v>
      </c>
      <c r="M37" s="147">
        <f>VLOOKUP($A$1,REM_ToolEnrico!$B$5:$J$38,9,FALSE)</f>
        <v>12719.232972380571</v>
      </c>
      <c r="N37" s="47">
        <v>0</v>
      </c>
      <c r="O37" s="48">
        <f t="shared" si="16"/>
        <v>12719.232972380571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75.958612226266894</v>
      </c>
      <c r="E38" s="47">
        <v>0</v>
      </c>
      <c r="F38" s="48">
        <f t="shared" si="13"/>
        <v>75.958612226266894</v>
      </c>
      <c r="G38" s="47">
        <v>76.110529450719426</v>
      </c>
      <c r="H38" s="47">
        <v>0</v>
      </c>
      <c r="I38" s="48">
        <f t="shared" si="17"/>
        <v>76.110529450719426</v>
      </c>
      <c r="J38" s="47">
        <v>76.110529450719426</v>
      </c>
      <c r="K38" s="47">
        <v>0</v>
      </c>
      <c r="L38" s="48">
        <f t="shared" si="15"/>
        <v>76.110529450719426</v>
      </c>
      <c r="M38" s="47">
        <v>76.110529450719426</v>
      </c>
      <c r="N38" s="47">
        <v>0</v>
      </c>
      <c r="O38" s="48">
        <f t="shared" si="16"/>
        <v>76.110529450719426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158617.59179288644</v>
      </c>
      <c r="E40" s="51">
        <f>E38+E37+E32+E31+E39</f>
        <v>0</v>
      </c>
      <c r="F40" s="52">
        <f t="shared" si="13"/>
        <v>158617.59179288644</v>
      </c>
      <c r="G40" s="51">
        <f>G38+G37+G32+G31+G39</f>
        <v>111031.46333566378</v>
      </c>
      <c r="H40" s="51">
        <f>H38+H37+H32+H31+H39</f>
        <v>0</v>
      </c>
      <c r="I40" s="52">
        <f t="shared" si="17"/>
        <v>111031.46333566378</v>
      </c>
      <c r="J40" s="51">
        <f>J38+J37+J32+J31+J39</f>
        <v>94801.282756797897</v>
      </c>
      <c r="K40" s="51">
        <f>K38+K37+K32+K31+K39</f>
        <v>0</v>
      </c>
      <c r="L40" s="52">
        <f t="shared" si="15"/>
        <v>94801.282756797897</v>
      </c>
      <c r="M40" s="51">
        <f>M38+M37+M32+M31+M39</f>
        <v>90529.00855003309</v>
      </c>
      <c r="N40" s="51">
        <f>N38+N37+N32+N31+N39</f>
        <v>0</v>
      </c>
      <c r="O40" s="52">
        <f t="shared" si="16"/>
        <v>90529.00855003309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2592.342090784613</v>
      </c>
      <c r="E42" s="22">
        <v>0</v>
      </c>
      <c r="F42" s="36">
        <f t="shared" si="13"/>
        <v>2592.342090784613</v>
      </c>
      <c r="G42" s="22">
        <v>4884.6059974269556</v>
      </c>
      <c r="H42" s="22">
        <v>0</v>
      </c>
      <c r="I42" s="36">
        <f t="shared" si="17"/>
        <v>4884.6059974269556</v>
      </c>
      <c r="J42" s="22">
        <v>4884.6059974269556</v>
      </c>
      <c r="K42" s="22">
        <v>0</v>
      </c>
      <c r="L42" s="36">
        <f t="shared" si="15"/>
        <v>4884.6059974269556</v>
      </c>
      <c r="M42" s="22">
        <v>4884.6059974269556</v>
      </c>
      <c r="N42" s="22">
        <v>0</v>
      </c>
      <c r="O42" s="36">
        <f t="shared" si="16"/>
        <v>4884.6059974269556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-33635.392163317476</v>
      </c>
      <c r="E44" s="57">
        <v>0</v>
      </c>
      <c r="F44" s="36">
        <f t="shared" si="13"/>
        <v>-33635.392163317476</v>
      </c>
      <c r="G44" s="57">
        <v>-165.89270194107667</v>
      </c>
      <c r="H44" s="57">
        <v>0</v>
      </c>
      <c r="I44" s="36">
        <f t="shared" si="17"/>
        <v>-165.89270194107667</v>
      </c>
      <c r="J44" s="57">
        <v>-32090.494750000002</v>
      </c>
      <c r="K44" s="57">
        <v>0</v>
      </c>
      <c r="L44" s="36">
        <f t="shared" si="15"/>
        <v>-32090.494750000002</v>
      </c>
      <c r="M44" s="57">
        <v>-37500</v>
      </c>
      <c r="N44" s="57">
        <v>0</v>
      </c>
      <c r="O44" s="36">
        <f>M44+N44</f>
        <v>-37500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247961.03741356358</v>
      </c>
      <c r="E47" s="59">
        <f>E25+E30+E40+E41+E42+E43+E44+E45</f>
        <v>0</v>
      </c>
      <c r="F47" s="60">
        <f>D47+E47</f>
        <v>247961.03741356358</v>
      </c>
      <c r="G47" s="59">
        <f>G25+G30+G40+G41+G42+G43+G44+G46</f>
        <v>240928.04662149903</v>
      </c>
      <c r="H47" s="59">
        <f>H25+H30+H40+H41+H42+H43+H44+H45+H46</f>
        <v>0</v>
      </c>
      <c r="I47" s="60">
        <f>G47+H47</f>
        <v>240928.04662149903</v>
      </c>
      <c r="J47" s="59">
        <f>J25+J30+J40+J41+J42+J43+J44+J46</f>
        <v>192773.2639945742</v>
      </c>
      <c r="K47" s="59">
        <f>K25+K30+K40+K41+K42+K43+K44+K45+K46</f>
        <v>0</v>
      </c>
      <c r="L47" s="60">
        <f>J47+K47</f>
        <v>192773.2639945742</v>
      </c>
      <c r="M47" s="59">
        <f>M25+M30+M40+M41+M42+M43+M44+M46</f>
        <v>183091.48453780942</v>
      </c>
      <c r="N47" s="59">
        <f>N25+N30+N40+N41+N42+N43+N44+N45+N46</f>
        <v>0</v>
      </c>
      <c r="O47" s="60">
        <f>M47+N47</f>
        <v>183091.48453780942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526204.737525751</v>
      </c>
      <c r="E49" s="65">
        <v>0</v>
      </c>
      <c r="F49" s="65">
        <f>D49+E49</f>
        <v>526204.737525751</v>
      </c>
      <c r="G49" s="65">
        <f>G50</f>
        <v>515822.33090014535</v>
      </c>
      <c r="H49" s="65">
        <v>0</v>
      </c>
      <c r="I49" s="65">
        <f t="shared" ref="I49" si="21">G49+H49</f>
        <v>515822.33090014535</v>
      </c>
      <c r="J49" s="65">
        <f>J50</f>
        <v>461268.7905112236</v>
      </c>
      <c r="K49" s="65">
        <v>0</v>
      </c>
      <c r="L49" s="65">
        <f t="shared" ref="L49" si="22">J49+K49</f>
        <v>461268.7905112236</v>
      </c>
      <c r="M49" s="65">
        <f>M50</f>
        <v>434357.98755445878</v>
      </c>
      <c r="N49" s="65">
        <v>0</v>
      </c>
      <c r="O49" s="65">
        <f t="shared" ref="O49" si="23">M49+N49</f>
        <v>434357.98755445878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526204.737525751</v>
      </c>
      <c r="E50" s="59">
        <f t="shared" si="24"/>
        <v>0</v>
      </c>
      <c r="F50" s="59">
        <f t="shared" si="24"/>
        <v>526204.737525751</v>
      </c>
      <c r="G50" s="59">
        <f>+G23+G47</f>
        <v>515822.33090014535</v>
      </c>
      <c r="H50" s="59">
        <f t="shared" si="24"/>
        <v>0</v>
      </c>
      <c r="I50" s="59">
        <f t="shared" si="24"/>
        <v>515822.33090014535</v>
      </c>
      <c r="J50" s="59">
        <f t="shared" si="24"/>
        <v>461268.7905112236</v>
      </c>
      <c r="K50" s="59">
        <f>+K23+K47</f>
        <v>0</v>
      </c>
      <c r="L50" s="59">
        <f t="shared" si="24"/>
        <v>461268.7905112236</v>
      </c>
      <c r="M50" s="59">
        <f>+M23+M47</f>
        <v>434357.98755445878</v>
      </c>
      <c r="N50" s="59">
        <f t="shared" si="24"/>
        <v>0</v>
      </c>
      <c r="O50" s="59">
        <f t="shared" si="24"/>
        <v>434357.98755445878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-33635.392163317476</v>
      </c>
      <c r="E51" s="68"/>
      <c r="F51" s="146"/>
      <c r="G51" s="68">
        <f>G44+G20</f>
        <v>-14038.111439944129</v>
      </c>
      <c r="H51" s="68"/>
      <c r="I51" s="146"/>
      <c r="J51" s="68">
        <f>J44+J20</f>
        <v>-52361.471250000002</v>
      </c>
      <c r="K51" s="68"/>
      <c r="L51" s="146"/>
      <c r="M51" s="68">
        <f>M44+M20</f>
        <v>-75000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0.90129999999999999</v>
      </c>
      <c r="G53" s="72"/>
      <c r="H53" s="73"/>
      <c r="I53" s="74">
        <v>0.90129999999999999</v>
      </c>
      <c r="J53" s="72"/>
      <c r="K53" s="73"/>
      <c r="L53" s="74">
        <v>0.90129999999999999</v>
      </c>
      <c r="M53" s="72"/>
      <c r="N53" s="73"/>
      <c r="O53" s="74">
        <v>0.90129999999999999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2110.4059999999999</v>
      </c>
      <c r="G54" s="34"/>
      <c r="H54" s="76"/>
      <c r="I54" s="77">
        <v>2110.4059999999999</v>
      </c>
      <c r="J54" s="34"/>
      <c r="K54" s="76"/>
      <c r="L54" s="77">
        <v>2110.4059999999999</v>
      </c>
      <c r="M54" s="34"/>
      <c r="N54" s="76"/>
      <c r="O54" s="77">
        <v>2110.4059999999999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27.549628623844615</v>
      </c>
      <c r="G55" s="34"/>
      <c r="H55" s="76"/>
      <c r="I55" s="78">
        <v>25.010268735020652</v>
      </c>
      <c r="J55" s="34"/>
      <c r="K55" s="76"/>
      <c r="L55" s="78">
        <v>23.123274336626324</v>
      </c>
      <c r="M55" s="34"/>
      <c r="N55" s="76"/>
      <c r="O55" s="78">
        <v>24.319948540717274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29.485199854929562</v>
      </c>
      <c r="G56" s="81"/>
      <c r="H56" s="82"/>
      <c r="I56" s="78">
        <v>29.485199854929562</v>
      </c>
      <c r="J56" s="81"/>
      <c r="K56" s="82"/>
      <c r="L56" s="78">
        <v>29.485199854929562</v>
      </c>
      <c r="M56" s="81"/>
      <c r="N56" s="82"/>
      <c r="O56" s="78">
        <v>29.485199854929562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-6.0568043070279881E-2</v>
      </c>
      <c r="G60" s="90"/>
      <c r="H60" s="76"/>
      <c r="I60" s="89">
        <v>-6.0568043070279881E-2</v>
      </c>
      <c r="J60" s="34"/>
      <c r="K60" s="91"/>
      <c r="L60" s="89">
        <v>-6.0568043070279881E-2</v>
      </c>
      <c r="M60" s="34"/>
      <c r="N60" s="76"/>
      <c r="O60" s="89">
        <v>-6.0568043070279881E-2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-6.0568043070279881E-2</v>
      </c>
      <c r="G61" s="90"/>
      <c r="H61" s="76"/>
      <c r="I61" s="92">
        <v>-6.0568043070279881E-2</v>
      </c>
      <c r="J61" s="34"/>
      <c r="K61" s="76"/>
      <c r="L61" s="93">
        <v>-6.0568043070279881E-2</v>
      </c>
      <c r="M61" s="34"/>
      <c r="N61" s="76"/>
      <c r="O61" s="92">
        <v>-6.0568043070279881E-2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0.93943195692972015</v>
      </c>
      <c r="G62" s="95"/>
      <c r="H62" s="82"/>
      <c r="I62" s="94">
        <v>0.93943195692972015</v>
      </c>
      <c r="J62" s="81"/>
      <c r="K62" s="82"/>
      <c r="L62" s="94">
        <v>0.93943195692972015</v>
      </c>
      <c r="M62" s="81"/>
      <c r="N62" s="82"/>
      <c r="O62" s="94">
        <v>0.93943195692972015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1.00000001E-3</v>
      </c>
      <c r="G66" s="34"/>
      <c r="H66" s="76"/>
      <c r="I66" s="104">
        <v>1.00000001E-3</v>
      </c>
      <c r="J66" s="34"/>
      <c r="K66" s="76"/>
      <c r="L66" s="104">
        <v>1.00000001E-3</v>
      </c>
      <c r="M66" s="34"/>
      <c r="N66" s="76"/>
      <c r="O66" s="104">
        <v>1.00000001E-3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6.5999999990000002E-2</v>
      </c>
      <c r="G70" s="34"/>
      <c r="H70" s="76"/>
      <c r="I70" s="105">
        <v>6.5999999990000002E-2</v>
      </c>
      <c r="J70" s="34"/>
      <c r="K70" s="76"/>
      <c r="L70" s="105">
        <v>6.5999999990000002E-2</v>
      </c>
      <c r="M70" s="34"/>
      <c r="N70" s="76"/>
      <c r="O70" s="105">
        <v>6.5999999990000002E-2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1.0659999999900001</v>
      </c>
      <c r="G71" s="34"/>
      <c r="H71" s="76"/>
      <c r="I71" s="106">
        <v>1.0659999999900001</v>
      </c>
      <c r="J71" s="34"/>
      <c r="K71" s="76"/>
      <c r="L71" s="106">
        <v>1.0659999999900001</v>
      </c>
      <c r="M71" s="34"/>
      <c r="N71" s="76"/>
      <c r="O71" s="106">
        <v>1.0659999999900001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526204.737525751</v>
      </c>
      <c r="G72" s="34"/>
      <c r="H72" s="76"/>
      <c r="I72" s="108">
        <f>I50</f>
        <v>515822.33090014535</v>
      </c>
      <c r="J72" s="34"/>
      <c r="K72" s="76"/>
      <c r="L72" s="108">
        <f>L50</f>
        <v>461268.7905112236</v>
      </c>
      <c r="M72" s="34"/>
      <c r="N72" s="76"/>
      <c r="O72" s="108">
        <f>O50</f>
        <v>434357.98755445878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264890.21038994187</v>
      </c>
      <c r="G73" s="34"/>
      <c r="H73" s="76"/>
      <c r="I73" s="110">
        <f>F81</f>
        <v>278243.70011218742</v>
      </c>
      <c r="J73" s="34"/>
      <c r="K73" s="76"/>
      <c r="L73" s="110">
        <f>I81</f>
        <v>274894.28427864634</v>
      </c>
      <c r="M73" s="34"/>
      <c r="N73" s="76"/>
      <c r="O73" s="110">
        <f>L81</f>
        <v>268495.52651664941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262928.00161005807</v>
      </c>
      <c r="G74" s="34"/>
      <c r="H74" s="76"/>
      <c r="I74" s="110">
        <f>F82</f>
        <v>247961.03741356358</v>
      </c>
      <c r="J74" s="34"/>
      <c r="K74" s="76"/>
      <c r="L74" s="110">
        <f>I82</f>
        <v>240928.046621499</v>
      </c>
      <c r="M74" s="34"/>
      <c r="N74" s="76"/>
      <c r="O74" s="110">
        <f>L82</f>
        <v>192773.2639945742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527818.21199999994</v>
      </c>
      <c r="G75" s="34"/>
      <c r="H75" s="76"/>
      <c r="I75" s="111">
        <f>SUM(I73:I74)</f>
        <v>526204.737525751</v>
      </c>
      <c r="J75" s="34"/>
      <c r="K75" s="76"/>
      <c r="L75" s="111">
        <f>SUM(L73:L74)</f>
        <v>515822.33090014535</v>
      </c>
      <c r="M75" s="34"/>
      <c r="N75" s="76"/>
      <c r="O75" s="111">
        <f>SUM(O73:O74)</f>
        <v>461268.7905112236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0.99694312466382096</v>
      </c>
      <c r="G76" s="81"/>
      <c r="H76" s="82"/>
      <c r="I76" s="112">
        <f>I72/I75</f>
        <v>0.98026926425173511</v>
      </c>
      <c r="J76" s="81"/>
      <c r="K76" s="82"/>
      <c r="L76" s="112">
        <f>L72/L75</f>
        <v>0.89423966912459552</v>
      </c>
      <c r="M76" s="81"/>
      <c r="N76" s="82"/>
      <c r="O76" s="112">
        <f>O72/O75</f>
        <v>0.94165917246007558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526204.737525751</v>
      </c>
      <c r="G78" s="73"/>
      <c r="H78" s="73"/>
      <c r="I78" s="115">
        <f>IF(I72&lt;=I75*I71,I72,I75*I71)</f>
        <v>515822.33090014535</v>
      </c>
      <c r="J78" s="73"/>
      <c r="K78" s="73"/>
      <c r="L78" s="115">
        <f>IF(L72&lt;=L75*L71,L72,L75*L71)</f>
        <v>461268.7905112236</v>
      </c>
      <c r="M78" s="73"/>
      <c r="N78" s="73"/>
      <c r="O78" s="115">
        <f>IF(O72&lt;=O75*O71,O72,O75*O71)</f>
        <v>434357.98755445878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278243.70011218742</v>
      </c>
      <c r="E81" s="120">
        <f>E23</f>
        <v>0</v>
      </c>
      <c r="F81" s="115">
        <f>D81+E81</f>
        <v>278243.70011218742</v>
      </c>
      <c r="G81" s="119">
        <f>G23-I79</f>
        <v>274894.28427864634</v>
      </c>
      <c r="H81" s="120">
        <f>H23</f>
        <v>0</v>
      </c>
      <c r="I81" s="115">
        <f>G81+H81</f>
        <v>274894.28427864634</v>
      </c>
      <c r="J81" s="119">
        <f>J23-L79</f>
        <v>268495.52651664941</v>
      </c>
      <c r="K81" s="120">
        <f>K23</f>
        <v>0</v>
      </c>
      <c r="L81" s="115">
        <f>J81+K81</f>
        <v>268495.52651664941</v>
      </c>
      <c r="M81" s="119">
        <f>M23-O79</f>
        <v>251266.5030166494</v>
      </c>
      <c r="N81" s="120">
        <f>N23</f>
        <v>0</v>
      </c>
      <c r="O81" s="115">
        <f>M81+N81</f>
        <v>251266.5030166494</v>
      </c>
    </row>
    <row r="82" spans="1:52" s="14" customFormat="1" ht="20" customHeight="1" thickBot="1">
      <c r="B82" s="118" t="s">
        <v>72</v>
      </c>
      <c r="D82" s="121">
        <f>D50-D81-F79</f>
        <v>247961.03741356358</v>
      </c>
      <c r="E82" s="122">
        <f>E50-E81</f>
        <v>0</v>
      </c>
      <c r="F82" s="123">
        <f>D82+E82</f>
        <v>247961.03741356358</v>
      </c>
      <c r="G82" s="121">
        <f>G49-G81-I79</f>
        <v>240928.046621499</v>
      </c>
      <c r="H82" s="122">
        <f>H50-H81</f>
        <v>0</v>
      </c>
      <c r="I82" s="123">
        <f>G82+H82</f>
        <v>240928.046621499</v>
      </c>
      <c r="J82" s="121">
        <f>J50-J81-L79</f>
        <v>192773.2639945742</v>
      </c>
      <c r="K82" s="122">
        <f>K50-K81</f>
        <v>0</v>
      </c>
      <c r="L82" s="123">
        <f>J82+K82</f>
        <v>192773.2639945742</v>
      </c>
      <c r="M82" s="121">
        <f>M49-M81-O79</f>
        <v>183091.48453780939</v>
      </c>
      <c r="N82" s="122">
        <f>N50-N81</f>
        <v>0</v>
      </c>
      <c r="O82" s="123">
        <f>M82+N82</f>
        <v>183091.48453780939</v>
      </c>
    </row>
    <row r="83" spans="1:52" s="124" customFormat="1" ht="17.25" customHeight="1" thickBot="1">
      <c r="B83" s="125" t="s">
        <v>73</v>
      </c>
      <c r="C83" s="14"/>
      <c r="D83" s="126">
        <f>SUM(D81:D82)</f>
        <v>526204.737525751</v>
      </c>
      <c r="E83" s="127">
        <f t="shared" ref="E83:O83" si="25">SUM(E81:E82)</f>
        <v>0</v>
      </c>
      <c r="F83" s="128">
        <f t="shared" si="25"/>
        <v>526204.737525751</v>
      </c>
      <c r="G83" s="126">
        <f t="shared" si="25"/>
        <v>515822.33090014535</v>
      </c>
      <c r="H83" s="127">
        <f t="shared" si="25"/>
        <v>0</v>
      </c>
      <c r="I83" s="128">
        <f t="shared" si="25"/>
        <v>515822.33090014535</v>
      </c>
      <c r="J83" s="126">
        <f t="shared" si="25"/>
        <v>461268.7905112236</v>
      </c>
      <c r="K83" s="127">
        <f t="shared" si="25"/>
        <v>0</v>
      </c>
      <c r="L83" s="128">
        <f t="shared" si="25"/>
        <v>461268.7905112236</v>
      </c>
      <c r="M83" s="126">
        <f t="shared" si="25"/>
        <v>434357.98755445878</v>
      </c>
      <c r="N83" s="127">
        <f t="shared" si="25"/>
        <v>0</v>
      </c>
      <c r="O83" s="128">
        <f t="shared" si="25"/>
        <v>434357.98755445878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278243.70011218742</v>
      </c>
      <c r="G88" s="72"/>
      <c r="H88" s="73"/>
      <c r="I88" s="136">
        <f>I81-I85</f>
        <v>274894.28427864634</v>
      </c>
      <c r="J88" s="72"/>
      <c r="K88" s="73"/>
      <c r="L88" s="136">
        <f>L81-L85</f>
        <v>268495.52651664941</v>
      </c>
      <c r="M88" s="72"/>
      <c r="N88" s="73"/>
      <c r="O88" s="136">
        <f>O81-O85</f>
        <v>251266.5030166494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247961.03741356358</v>
      </c>
      <c r="G89" s="34"/>
      <c r="H89" s="76"/>
      <c r="I89" s="138">
        <f>I82-I86</f>
        <v>240928.046621499</v>
      </c>
      <c r="J89" s="34"/>
      <c r="K89" s="76"/>
      <c r="L89" s="138">
        <f>L82-L86</f>
        <v>192773.2639945742</v>
      </c>
      <c r="M89" s="34"/>
      <c r="N89" s="76"/>
      <c r="O89" s="138">
        <f>O82-O86</f>
        <v>183091.48453780939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526204.737525751</v>
      </c>
      <c r="G90" s="81"/>
      <c r="H90" s="82"/>
      <c r="I90" s="139">
        <f>+I88+I89</f>
        <v>515822.33090014535</v>
      </c>
      <c r="J90" s="81"/>
      <c r="K90" s="82"/>
      <c r="L90" s="139">
        <f>+L88+L89</f>
        <v>461268.7905112236</v>
      </c>
      <c r="M90" s="81"/>
      <c r="N90" s="82"/>
      <c r="O90" s="139">
        <f>+O88+O89</f>
        <v>434357.98755445878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-24.938623711359469</v>
      </c>
      <c r="E92" s="143">
        <v>0</v>
      </c>
      <c r="F92" s="144">
        <f>D92+E92</f>
        <v>-24.938623711359469</v>
      </c>
      <c r="G92" s="142">
        <v>-1182.2371276497884</v>
      </c>
      <c r="H92" s="143">
        <v>0</v>
      </c>
      <c r="I92" s="144">
        <f>G92+H92</f>
        <v>-1182.2371276497884</v>
      </c>
      <c r="J92" s="142">
        <v>-1182.2371276497884</v>
      </c>
      <c r="K92" s="143">
        <v>0</v>
      </c>
      <c r="L92" s="144">
        <f>J92+K92</f>
        <v>-1182.2371276497884</v>
      </c>
      <c r="M92" s="142">
        <v>-1182.2371276497884</v>
      </c>
      <c r="N92" s="143">
        <v>0</v>
      </c>
      <c r="O92" s="144">
        <f>M92+N92</f>
        <v>-1182.2371276497884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589380.46935999393</v>
      </c>
      <c r="E96" s="166">
        <f>E6+E7+E8+E9+E11+E25+E30+E40+E42+E21+E45</f>
        <v>0</v>
      </c>
      <c r="F96" s="166">
        <f t="shared" ref="F96" si="26">F6+F7+F8+F9+F11+F25+F30+F40+F42</f>
        <v>589380.46935999393</v>
      </c>
      <c r="G96" s="166">
        <f t="shared" ref="G96" si="27">G6+G7+G8+G9+G11+G25+G30+G40+G42+G21+G45</f>
        <v>559371.27118217293</v>
      </c>
      <c r="H96" s="166">
        <f t="shared" ref="H96" si="28">H6+H7+H8+H9+H11+H25+H30+H40+H42</f>
        <v>0</v>
      </c>
      <c r="I96" s="166">
        <f t="shared" ref="I96" si="29">I6+I7+I8+I9+I11+I25+I30+I40+I42+I21+I45</f>
        <v>559371.27118217293</v>
      </c>
      <c r="J96" s="166">
        <f t="shared" ref="J96" si="30">J6+J7+J8+J9+J11+J25+J30+J40+J42</f>
        <v>543141.09060330701</v>
      </c>
      <c r="K96" s="166">
        <f t="shared" ref="K96" si="31">K6+K7+K8+K9+K11+K25+K30+K40+K42+K21+K45</f>
        <v>0</v>
      </c>
      <c r="L96" s="166">
        <f t="shared" ref="L96" si="32">L6+L7+L8+L9+L11+L25+L30+L40+L42</f>
        <v>543141.09060330701</v>
      </c>
      <c r="M96" s="166">
        <f t="shared" ref="M96" si="33">M6+M7+M8+M9+M11+M25+M30+M40+M42+M21+M45</f>
        <v>538868.81639654224</v>
      </c>
      <c r="N96" s="166">
        <f t="shared" ref="N96" si="34">N6+N7+N8+N9+N11+N25+N30+N40+N42</f>
        <v>0</v>
      </c>
      <c r="O96" s="166">
        <f t="shared" ref="O96" si="35">O6+O7+O8+O9+O11+O25+O30+O40+O42+O21+O45</f>
        <v>538868.81639654224</v>
      </c>
    </row>
    <row r="97" spans="4:15" s="14" customFormat="1">
      <c r="D97" s="166">
        <f>D96-D15-D19</f>
        <v>559840.12968906842</v>
      </c>
      <c r="E97" s="166">
        <f>E96-E15-E19</f>
        <v>0</v>
      </c>
      <c r="F97" s="166">
        <f t="shared" ref="F97:O97" si="36">F96-F15-F19</f>
        <v>559840.12968906842</v>
      </c>
      <c r="G97" s="166">
        <f t="shared" si="36"/>
        <v>529860.44234008947</v>
      </c>
      <c r="H97" s="166">
        <f t="shared" si="36"/>
        <v>0</v>
      </c>
      <c r="I97" s="166">
        <f t="shared" si="36"/>
        <v>529860.44234008947</v>
      </c>
      <c r="J97" s="166">
        <f t="shared" si="36"/>
        <v>513630.26176122355</v>
      </c>
      <c r="K97" s="166">
        <f t="shared" si="36"/>
        <v>0</v>
      </c>
      <c r="L97" s="166">
        <f t="shared" si="36"/>
        <v>513630.26176122355</v>
      </c>
      <c r="M97" s="166">
        <f t="shared" si="36"/>
        <v>509357.98755445878</v>
      </c>
      <c r="N97" s="166">
        <f t="shared" si="36"/>
        <v>0</v>
      </c>
      <c r="O97" s="166">
        <f t="shared" si="36"/>
        <v>509357.98755445878</v>
      </c>
    </row>
    <row r="98" spans="4:15" s="14" customFormat="1">
      <c r="D98" s="166">
        <f>D20+D44</f>
        <v>-33635.392163317476</v>
      </c>
      <c r="E98" s="166">
        <f>E20+E44</f>
        <v>0</v>
      </c>
      <c r="F98" s="166">
        <f t="shared" ref="F98:O98" si="37">F20+F44</f>
        <v>-33635.392163317476</v>
      </c>
      <c r="G98" s="166">
        <f t="shared" si="37"/>
        <v>-14038.111439944129</v>
      </c>
      <c r="H98" s="166">
        <f t="shared" si="37"/>
        <v>0</v>
      </c>
      <c r="I98" s="166">
        <f t="shared" si="37"/>
        <v>-14038.111439944129</v>
      </c>
      <c r="J98" s="166">
        <f t="shared" si="37"/>
        <v>-52361.471250000002</v>
      </c>
      <c r="K98" s="166">
        <f t="shared" si="37"/>
        <v>0</v>
      </c>
      <c r="L98" s="166">
        <f t="shared" si="37"/>
        <v>-52361.471250000002</v>
      </c>
      <c r="M98" s="166">
        <f t="shared" si="37"/>
        <v>-75000</v>
      </c>
      <c r="N98" s="166">
        <f t="shared" si="37"/>
        <v>0</v>
      </c>
      <c r="O98" s="166">
        <f t="shared" si="37"/>
        <v>-75000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73" priority="7" operator="containsText" text="ERRORE">
      <formula>NOT(ISERROR(SEARCH("ERRORE",F81)))</formula>
    </cfRule>
  </conditionalFormatting>
  <conditionalFormatting sqref="I83">
    <cfRule type="containsText" dxfId="172" priority="6" operator="containsText" text="ERRORE">
      <formula>NOT(ISERROR(SEARCH("ERRORE",I83)))</formula>
    </cfRule>
  </conditionalFormatting>
  <conditionalFormatting sqref="I81:I82">
    <cfRule type="containsText" dxfId="171" priority="5" operator="containsText" text="ERRORE">
      <formula>NOT(ISERROR(SEARCH("ERRORE",I81)))</formula>
    </cfRule>
  </conditionalFormatting>
  <conditionalFormatting sqref="L83">
    <cfRule type="containsText" dxfId="170" priority="4" operator="containsText" text="ERRORE">
      <formula>NOT(ISERROR(SEARCH("ERRORE",L83)))</formula>
    </cfRule>
  </conditionalFormatting>
  <conditionalFormatting sqref="L81:L82">
    <cfRule type="containsText" dxfId="169" priority="3" operator="containsText" text="ERRORE">
      <formula>NOT(ISERROR(SEARCH("ERRORE",L81)))</formula>
    </cfRule>
  </conditionalFormatting>
  <conditionalFormatting sqref="O83">
    <cfRule type="containsText" dxfId="168" priority="2" operator="containsText" text="ERRORE">
      <formula>NOT(ISERROR(SEARCH("ERRORE",O83)))</formula>
    </cfRule>
  </conditionalFormatting>
  <conditionalFormatting sqref="O81:O82">
    <cfRule type="containsText" dxfId="167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C67" zoomScale="70" zoomScaleNormal="70" zoomScalePageLayoutView="70" workbookViewId="0">
      <selection activeCell="I83" sqref="I83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94</v>
      </c>
      <c r="B1" s="2" t="str">
        <f>"       PEF 2022 - 2025"&amp;" - "&amp;A1</f>
        <v xml:space="preserve">       PEF 2022 - 2025 - Fossò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147</v>
      </c>
      <c r="E4" s="188"/>
      <c r="F4" s="189"/>
      <c r="G4" s="187" t="str">
        <f>D4</f>
        <v>Ambito tariffario: FOSSO'</v>
      </c>
      <c r="H4" s="188"/>
      <c r="I4" s="189"/>
      <c r="J4" s="187" t="str">
        <f>D4</f>
        <v>Ambito tariffario: FOSSO'</v>
      </c>
      <c r="K4" s="188"/>
      <c r="L4" s="189"/>
      <c r="M4" s="187" t="str">
        <f>D4</f>
        <v>Ambito tariffario: FOSSO'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100138.41945465148</v>
      </c>
      <c r="E6" s="22">
        <v>0</v>
      </c>
      <c r="F6" s="23">
        <f>D6+E6</f>
        <v>100138.41945465148</v>
      </c>
      <c r="G6" s="22">
        <v>103588.56859761287</v>
      </c>
      <c r="H6" s="22">
        <v>0</v>
      </c>
      <c r="I6" s="23">
        <f>G6+H6</f>
        <v>103588.56859761287</v>
      </c>
      <c r="J6" s="22">
        <v>103588.56859761287</v>
      </c>
      <c r="K6" s="22">
        <v>0</v>
      </c>
      <c r="L6" s="23">
        <f>J6+K6</f>
        <v>103588.56859761287</v>
      </c>
      <c r="M6" s="22">
        <v>103588.56859761287</v>
      </c>
      <c r="N6" s="22">
        <v>0</v>
      </c>
      <c r="O6" s="23">
        <f>M6+N6</f>
        <v>103588.56859761287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99476.965223349631</v>
      </c>
      <c r="E7" s="22">
        <v>0</v>
      </c>
      <c r="F7" s="23">
        <f t="shared" ref="F7:F20" si="0">D7+E7</f>
        <v>99476.965223349631</v>
      </c>
      <c r="G7" s="22">
        <v>104130.64611406226</v>
      </c>
      <c r="H7" s="22">
        <v>0</v>
      </c>
      <c r="I7" s="23">
        <f t="shared" ref="I7:I13" si="1">G7+H7</f>
        <v>104130.64611406226</v>
      </c>
      <c r="J7" s="22">
        <v>104130.64611406226</v>
      </c>
      <c r="K7" s="22">
        <v>0</v>
      </c>
      <c r="L7" s="23">
        <f t="shared" ref="L7:L12" si="2">J7+K7</f>
        <v>104130.64611406226</v>
      </c>
      <c r="M7" s="22">
        <v>104130.64611406226</v>
      </c>
      <c r="N7" s="22">
        <v>0</v>
      </c>
      <c r="O7" s="23">
        <f t="shared" ref="O7:O13" si="3">M7+N7</f>
        <v>104130.64611406226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128508.6789274286</v>
      </c>
      <c r="E8" s="22">
        <v>0</v>
      </c>
      <c r="F8" s="23">
        <f t="shared" si="0"/>
        <v>128508.6789274286</v>
      </c>
      <c r="G8" s="22">
        <v>134523.65831862629</v>
      </c>
      <c r="H8" s="22">
        <v>0</v>
      </c>
      <c r="I8" s="23">
        <f t="shared" si="1"/>
        <v>134523.65831862629</v>
      </c>
      <c r="J8" s="22">
        <v>134523.65831862629</v>
      </c>
      <c r="K8" s="22">
        <v>0</v>
      </c>
      <c r="L8" s="23">
        <f t="shared" si="2"/>
        <v>134523.65831862629</v>
      </c>
      <c r="M8" s="22">
        <v>134523.65831862629</v>
      </c>
      <c r="N8" s="22">
        <v>0</v>
      </c>
      <c r="O8" s="23">
        <f t="shared" si="3"/>
        <v>134523.65831862629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227064.02480463532</v>
      </c>
      <c r="E9" s="22">
        <v>0</v>
      </c>
      <c r="F9" s="23">
        <f t="shared" si="0"/>
        <v>227064.02480463532</v>
      </c>
      <c r="G9" s="22">
        <v>233477.17554805602</v>
      </c>
      <c r="H9" s="22">
        <v>0</v>
      </c>
      <c r="I9" s="23">
        <f t="shared" si="1"/>
        <v>233477.17554805602</v>
      </c>
      <c r="J9" s="22">
        <v>233477.17554805602</v>
      </c>
      <c r="K9" s="22">
        <v>0</v>
      </c>
      <c r="L9" s="23">
        <f t="shared" si="2"/>
        <v>233477.17554805602</v>
      </c>
      <c r="M9" s="22">
        <v>233477.17554805602</v>
      </c>
      <c r="N9" s="22">
        <v>0</v>
      </c>
      <c r="O9" s="23">
        <f t="shared" si="3"/>
        <v>233477.17554805602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2824.8675213144861</v>
      </c>
      <c r="E11" s="22">
        <v>0</v>
      </c>
      <c r="F11" s="23">
        <f t="shared" si="0"/>
        <v>2824.8675213144861</v>
      </c>
      <c r="G11" s="22">
        <v>2824.8675213144861</v>
      </c>
      <c r="H11" s="22">
        <v>0</v>
      </c>
      <c r="I11" s="23">
        <f t="shared" si="1"/>
        <v>2824.8675213144861</v>
      </c>
      <c r="J11" s="22">
        <v>2824.8675213144861</v>
      </c>
      <c r="K11" s="22">
        <v>0</v>
      </c>
      <c r="L11" s="23">
        <f t="shared" si="2"/>
        <v>2824.8675213144861</v>
      </c>
      <c r="M11" s="22">
        <v>2824.8675213144861</v>
      </c>
      <c r="N11" s="22">
        <v>0</v>
      </c>
      <c r="O11" s="23">
        <f t="shared" si="3"/>
        <v>2824.8675213144861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62304.169854168795</v>
      </c>
      <c r="E13" s="22">
        <v>0</v>
      </c>
      <c r="F13" s="23">
        <f t="shared" si="0"/>
        <v>62304.169854168795</v>
      </c>
      <c r="G13" s="22">
        <v>62241.927926242563</v>
      </c>
      <c r="H13" s="22">
        <v>0</v>
      </c>
      <c r="I13" s="23">
        <f t="shared" si="1"/>
        <v>62241.927926242563</v>
      </c>
      <c r="J13" s="22">
        <v>62241.927926242563</v>
      </c>
      <c r="K13" s="22">
        <v>0</v>
      </c>
      <c r="L13" s="23">
        <f>J13+K13</f>
        <v>62241.927926242563</v>
      </c>
      <c r="M13" s="22">
        <v>62241.927926242563</v>
      </c>
      <c r="N13" s="22">
        <v>0</v>
      </c>
      <c r="O13" s="23">
        <f t="shared" si="3"/>
        <v>62241.927926242563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37382.501912501277</v>
      </c>
      <c r="E15" s="22">
        <v>0</v>
      </c>
      <c r="F15" s="23">
        <f t="shared" si="0"/>
        <v>37382.501912501277</v>
      </c>
      <c r="G15" s="22">
        <v>37345.156755745535</v>
      </c>
      <c r="H15" s="22">
        <v>0</v>
      </c>
      <c r="I15" s="23">
        <f t="shared" ref="I15:I16" si="4">G15+H15</f>
        <v>37345.156755745535</v>
      </c>
      <c r="J15" s="22">
        <v>37345.156755745535</v>
      </c>
      <c r="K15" s="22">
        <v>0</v>
      </c>
      <c r="L15" s="23">
        <f t="shared" ref="L15:L16" si="5">J15+K15</f>
        <v>37345.156755745535</v>
      </c>
      <c r="M15" s="22">
        <v>37345.156755745535</v>
      </c>
      <c r="N15" s="22">
        <v>0</v>
      </c>
      <c r="O15" s="23">
        <f t="shared" ref="O15:O16" si="6">M15+N15</f>
        <v>37345.156755745535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1343.0697861238341</v>
      </c>
      <c r="E16" s="22">
        <v>0</v>
      </c>
      <c r="F16" s="23">
        <f t="shared" si="0"/>
        <v>1343.0697861238341</v>
      </c>
      <c r="G16" s="22">
        <v>1341.7280580657682</v>
      </c>
      <c r="H16" s="22">
        <v>0</v>
      </c>
      <c r="I16" s="23">
        <f t="shared" si="4"/>
        <v>1341.7280580657682</v>
      </c>
      <c r="J16" s="22">
        <v>1341.7280580657682</v>
      </c>
      <c r="K16" s="22">
        <v>0</v>
      </c>
      <c r="L16" s="23">
        <f t="shared" si="5"/>
        <v>1341.7280580657682</v>
      </c>
      <c r="M16" s="22">
        <v>1341.7280580657682</v>
      </c>
      <c r="N16" s="22">
        <v>0</v>
      </c>
      <c r="O16" s="23">
        <f t="shared" si="6"/>
        <v>1341.7280580657682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886.42605884173054</v>
      </c>
      <c r="E19" s="22">
        <v>0</v>
      </c>
      <c r="F19" s="23">
        <f t="shared" si="0"/>
        <v>886.42605884173054</v>
      </c>
      <c r="G19" s="22">
        <v>885.54051832340701</v>
      </c>
      <c r="H19" s="22">
        <v>0</v>
      </c>
      <c r="I19" s="23">
        <f t="shared" ref="I19:I20" si="7">G19+H19</f>
        <v>885.54051832340701</v>
      </c>
      <c r="J19" s="22">
        <v>885.54051832340701</v>
      </c>
      <c r="K19" s="22">
        <v>0</v>
      </c>
      <c r="L19" s="23">
        <f t="shared" ref="L19:L20" si="8">J19+K19</f>
        <v>885.54051832340701</v>
      </c>
      <c r="M19" s="32">
        <v>885.54051832340701</v>
      </c>
      <c r="N19" s="33">
        <v>0</v>
      </c>
      <c r="O19" s="23">
        <f t="shared" ref="O19:O20" si="9">M19+N19</f>
        <v>885.54051832340701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84689.124257147749</v>
      </c>
      <c r="E20" s="22">
        <v>0</v>
      </c>
      <c r="F20" s="23">
        <f t="shared" si="0"/>
        <v>84689.124257147749</v>
      </c>
      <c r="G20" s="22">
        <v>20190.321618600286</v>
      </c>
      <c r="H20" s="22">
        <v>0</v>
      </c>
      <c r="I20" s="23">
        <f t="shared" si="7"/>
        <v>20190.321618600286</v>
      </c>
      <c r="J20" s="22">
        <v>19503.240000000005</v>
      </c>
      <c r="K20" s="22">
        <v>0</v>
      </c>
      <c r="L20" s="23">
        <f t="shared" si="8"/>
        <v>19503.240000000005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/>
      <c r="F21" s="23">
        <f>E21</f>
        <v>0</v>
      </c>
      <c r="G21" s="34"/>
      <c r="H21" s="22"/>
      <c r="I21" s="23">
        <f>H21</f>
        <v>0</v>
      </c>
      <c r="J21" s="34"/>
      <c r="K21" s="22"/>
      <c r="L21" s="23">
        <f>K21</f>
        <v>0</v>
      </c>
      <c r="M21" s="34"/>
      <c r="N21" s="22"/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>
        <v>55454</v>
      </c>
      <c r="K22" s="22">
        <v>0</v>
      </c>
      <c r="L22" s="36">
        <f t="shared" ref="L22" si="11">J22+K22</f>
        <v>55454</v>
      </c>
      <c r="M22" s="22">
        <v>64681</v>
      </c>
      <c r="N22" s="22">
        <v>0</v>
      </c>
      <c r="O22" s="36">
        <f t="shared" ref="O22" si="12">M22+N22</f>
        <v>64681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604433.15221718431</v>
      </c>
      <c r="E23" s="38">
        <f>E6+E7+E8+E9+E10+E11+E12-E15-E19+E20+E21</f>
        <v>0</v>
      </c>
      <c r="F23" s="38">
        <f>D23+E23</f>
        <v>604433.15221718431</v>
      </c>
      <c r="G23" s="38">
        <f>G6+G7+G8+G9+G10+G11+G12-G15-G19+G20+G22</f>
        <v>560504.5404442033</v>
      </c>
      <c r="H23" s="38">
        <f>H6+H7+H8+H9+H10+H11+H12-H15-H19+H20+H21+H22</f>
        <v>0</v>
      </c>
      <c r="I23" s="38">
        <f>G23+H23</f>
        <v>560504.5404442033</v>
      </c>
      <c r="J23" s="38">
        <f>J6+J7+J8+J9+J10+J11+J12-J15-J19+J20+J22</f>
        <v>615271.45882560301</v>
      </c>
      <c r="K23" s="38">
        <f>K6+K7+K8+K9+K10+K11+K12-K15-K19+K20+K21+K22</f>
        <v>0</v>
      </c>
      <c r="L23" s="38">
        <f>J23+K23</f>
        <v>615271.45882560301</v>
      </c>
      <c r="M23" s="38">
        <f>M6+M7+M8+M9+M10+M11+M12-M15-M19+M20+M22</f>
        <v>604995.21882560302</v>
      </c>
      <c r="N23" s="38">
        <f>N6+N7+N8+N9+N10+N11+N12-N15-N19+N20+N21+N22</f>
        <v>0</v>
      </c>
      <c r="O23" s="38">
        <f>M23+N23</f>
        <v>604995.21882560302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118768.05158702908</v>
      </c>
      <c r="E25" s="44">
        <v>0</v>
      </c>
      <c r="F25" s="45">
        <f t="shared" ref="F25:F44" si="13">D25+E25</f>
        <v>118768.05158702908</v>
      </c>
      <c r="G25" s="44">
        <v>124143.13759643961</v>
      </c>
      <c r="H25" s="44">
        <v>0</v>
      </c>
      <c r="I25" s="45">
        <f t="shared" ref="I25:I33" si="14">G25+H25</f>
        <v>124143.13759643961</v>
      </c>
      <c r="J25" s="44">
        <v>124143.13759643961</v>
      </c>
      <c r="K25" s="44">
        <v>0</v>
      </c>
      <c r="L25" s="45">
        <f t="shared" ref="L25:L44" si="15">J25+K25</f>
        <v>124143.13759643961</v>
      </c>
      <c r="M25" s="44">
        <v>124143.13759643961</v>
      </c>
      <c r="N25" s="44">
        <v>0</v>
      </c>
      <c r="O25" s="45">
        <f t="shared" ref="O25:O43" si="16">M25+N25</f>
        <v>124143.13759643961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64154.324052628086</v>
      </c>
      <c r="E26" s="22">
        <v>0</v>
      </c>
      <c r="F26" s="36">
        <f t="shared" si="13"/>
        <v>64154.324052628086</v>
      </c>
      <c r="G26" s="22">
        <v>66033.674142874093</v>
      </c>
      <c r="H26" s="22">
        <v>0</v>
      </c>
      <c r="I26" s="36">
        <f t="shared" si="14"/>
        <v>66033.674142874093</v>
      </c>
      <c r="J26" s="22">
        <v>66033.674142874093</v>
      </c>
      <c r="K26" s="22">
        <v>0</v>
      </c>
      <c r="L26" s="36">
        <f t="shared" si="15"/>
        <v>66033.674142874093</v>
      </c>
      <c r="M26" s="22">
        <v>66033.674142874093</v>
      </c>
      <c r="N26" s="22">
        <v>0</v>
      </c>
      <c r="O26" s="36">
        <f t="shared" si="16"/>
        <v>66033.674142874093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80554.877010758879</v>
      </c>
      <c r="E27" s="47">
        <v>0</v>
      </c>
      <c r="F27" s="48">
        <f t="shared" si="13"/>
        <v>80554.877010758879</v>
      </c>
      <c r="G27" s="47">
        <v>83656.754211583087</v>
      </c>
      <c r="H27" s="47">
        <v>0</v>
      </c>
      <c r="I27" s="48">
        <f t="shared" si="14"/>
        <v>83656.754211583087</v>
      </c>
      <c r="J27" s="47">
        <v>83656.754211583087</v>
      </c>
      <c r="K27" s="47">
        <v>0</v>
      </c>
      <c r="L27" s="48">
        <f t="shared" si="15"/>
        <v>83656.754211583087</v>
      </c>
      <c r="M27" s="47">
        <v>83656.754211583087</v>
      </c>
      <c r="N27" s="47">
        <v>0</v>
      </c>
      <c r="O27" s="48">
        <f t="shared" si="16"/>
        <v>83656.754211583087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11896.535854644349</v>
      </c>
      <c r="E29" s="47">
        <v>0</v>
      </c>
      <c r="F29" s="48">
        <f t="shared" si="13"/>
        <v>11896.535854644349</v>
      </c>
      <c r="G29" s="47">
        <v>11982.00245172466</v>
      </c>
      <c r="H29" s="47">
        <v>0</v>
      </c>
      <c r="I29" s="48">
        <f t="shared" si="14"/>
        <v>11982.00245172466</v>
      </c>
      <c r="J29" s="47">
        <v>11982.00245172466</v>
      </c>
      <c r="K29" s="47">
        <v>0</v>
      </c>
      <c r="L29" s="48">
        <f t="shared" si="15"/>
        <v>11982.00245172466</v>
      </c>
      <c r="M29" s="47">
        <v>11982.00245172466</v>
      </c>
      <c r="N29" s="47">
        <v>0</v>
      </c>
      <c r="O29" s="48">
        <f t="shared" si="16"/>
        <v>11982.00245172466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156605.73691803133</v>
      </c>
      <c r="E30" s="51">
        <f>+E26+E27+E28+E29</f>
        <v>0</v>
      </c>
      <c r="F30" s="52">
        <f t="shared" si="13"/>
        <v>156605.73691803133</v>
      </c>
      <c r="G30" s="51">
        <f>+G26+G27+G28+G29</f>
        <v>161672.43080618186</v>
      </c>
      <c r="H30" s="51">
        <f>+H26+H27+H28+H29</f>
        <v>0</v>
      </c>
      <c r="I30" s="52">
        <f t="shared" si="14"/>
        <v>161672.43080618186</v>
      </c>
      <c r="J30" s="51">
        <f>+J26+J27+J28+J29</f>
        <v>161672.43080618186</v>
      </c>
      <c r="K30" s="51">
        <f>+K26+K27+K28+K29</f>
        <v>0</v>
      </c>
      <c r="L30" s="52">
        <f t="shared" si="15"/>
        <v>161672.43080618186</v>
      </c>
      <c r="M30" s="51">
        <f>+M26+M27+M28+M29</f>
        <v>161672.43080618186</v>
      </c>
      <c r="N30" s="51">
        <f>+N26+N27+N28+N29</f>
        <v>0</v>
      </c>
      <c r="O30" s="52">
        <f t="shared" si="16"/>
        <v>161672.43080618186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65676.009702974887</v>
      </c>
      <c r="E31" s="53">
        <v>0</v>
      </c>
      <c r="F31" s="48">
        <f t="shared" si="13"/>
        <v>65676.009702974887</v>
      </c>
      <c r="G31" s="147">
        <f>VLOOKUP($A$1,REM_ToolEnrico!$B$5:$J$38,4,FALSE)</f>
        <v>53933.83883748074</v>
      </c>
      <c r="H31" s="53">
        <v>0</v>
      </c>
      <c r="I31" s="48">
        <f t="shared" si="14"/>
        <v>53933.83883748074</v>
      </c>
      <c r="J31" s="147">
        <f>VLOOKUP($A$1,REM_ToolEnrico!$B$5:$J$38,6,FALSE)</f>
        <v>53555.709888873804</v>
      </c>
      <c r="K31" s="53">
        <v>0</v>
      </c>
      <c r="L31" s="48">
        <f t="shared" si="15"/>
        <v>53555.709888873804</v>
      </c>
      <c r="M31" s="147">
        <f>VLOOKUP($A$1,REM_ToolEnrico!$B$5:$J$38,8,FALSE)</f>
        <v>50871.369829171628</v>
      </c>
      <c r="N31" s="53">
        <v>0</v>
      </c>
      <c r="O31" s="48">
        <f t="shared" si="16"/>
        <v>50871.369829171628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36453.921958569095</v>
      </c>
      <c r="E32" s="54">
        <f>+E33+E34+E35+E36</f>
        <v>0</v>
      </c>
      <c r="F32" s="48">
        <f t="shared" si="13"/>
        <v>36453.921958569095</v>
      </c>
      <c r="G32" s="54">
        <f>+G33+G34+G35+G36</f>
        <v>36417.504454114976</v>
      </c>
      <c r="H32" s="54">
        <f>+H33+H34+H35+H36</f>
        <v>0</v>
      </c>
      <c r="I32" s="48">
        <f t="shared" si="14"/>
        <v>36417.504454114976</v>
      </c>
      <c r="J32" s="54">
        <f>+J33+J34+J35+J36</f>
        <v>36417.504454114976</v>
      </c>
      <c r="K32" s="54">
        <f>+K33+K34+K35+K36</f>
        <v>0</v>
      </c>
      <c r="L32" s="48">
        <f t="shared" si="15"/>
        <v>36417.504454114976</v>
      </c>
      <c r="M32" s="54">
        <f>+M33+M34+M35+M36</f>
        <v>36417.504454114976</v>
      </c>
      <c r="N32" s="54">
        <f>+N33+N34+N35+N36</f>
        <v>0</v>
      </c>
      <c r="O32" s="48">
        <f t="shared" si="16"/>
        <v>36417.504454114976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36453.921958569095</v>
      </c>
      <c r="E34" s="47">
        <v>0</v>
      </c>
      <c r="F34" s="48">
        <f>D34+E34</f>
        <v>36453.921958569095</v>
      </c>
      <c r="G34" s="47">
        <v>36417.504454114976</v>
      </c>
      <c r="H34" s="47">
        <v>0</v>
      </c>
      <c r="I34" s="48">
        <f>G34+H34</f>
        <v>36417.504454114976</v>
      </c>
      <c r="J34" s="47">
        <v>36417.504454114976</v>
      </c>
      <c r="K34" s="158">
        <v>0</v>
      </c>
      <c r="L34" s="48">
        <f t="shared" si="15"/>
        <v>36417.504454114976</v>
      </c>
      <c r="M34" s="47">
        <v>36417.504454114976</v>
      </c>
      <c r="N34" s="158">
        <v>0</v>
      </c>
      <c r="O34" s="48">
        <f t="shared" si="16"/>
        <v>36417.504454114976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33036.578345579073</v>
      </c>
      <c r="E37" s="47">
        <v>0</v>
      </c>
      <c r="F37" s="48">
        <f t="shared" si="13"/>
        <v>33036.578345579073</v>
      </c>
      <c r="G37" s="147">
        <f>VLOOKUP($A$1,REM_ToolEnrico!$B$5:$J$38,5,FALSE)</f>
        <v>33123.862585007897</v>
      </c>
      <c r="H37" s="47">
        <v>0</v>
      </c>
      <c r="I37" s="48">
        <f t="shared" si="17"/>
        <v>33123.862585007897</v>
      </c>
      <c r="J37" s="147">
        <f>VLOOKUP($A$1,REM_ToolEnrico!$B$5:$J$38,7,FALSE)</f>
        <v>31743.26133497684</v>
      </c>
      <c r="K37" s="47">
        <v>0</v>
      </c>
      <c r="L37" s="48">
        <f t="shared" si="15"/>
        <v>31743.26133497684</v>
      </c>
      <c r="M37" s="147">
        <f>VLOOKUP($A$1,REM_ToolEnrico!$B$5:$J$38,9,FALSE)</f>
        <v>30035.407465476892</v>
      </c>
      <c r="N37" s="47">
        <v>0</v>
      </c>
      <c r="O37" s="48">
        <f t="shared" si="16"/>
        <v>30035.407465476892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388.91228965897955</v>
      </c>
      <c r="E38" s="47">
        <v>0</v>
      </c>
      <c r="F38" s="48">
        <f t="shared" si="13"/>
        <v>388.91228965897955</v>
      </c>
      <c r="G38" s="47">
        <v>389.69011423829761</v>
      </c>
      <c r="H38" s="47">
        <v>0</v>
      </c>
      <c r="I38" s="48">
        <f t="shared" si="17"/>
        <v>389.69011423829761</v>
      </c>
      <c r="J38" s="47">
        <v>389.69011423829761</v>
      </c>
      <c r="K38" s="47">
        <v>0</v>
      </c>
      <c r="L38" s="48">
        <f t="shared" si="15"/>
        <v>389.69011423829761</v>
      </c>
      <c r="M38" s="47">
        <v>389.69011423829761</v>
      </c>
      <c r="N38" s="47">
        <v>0</v>
      </c>
      <c r="O38" s="48">
        <f t="shared" si="16"/>
        <v>389.69011423829761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135555.42229678202</v>
      </c>
      <c r="E40" s="51">
        <f>E38+E37+E32+E31+E39</f>
        <v>0</v>
      </c>
      <c r="F40" s="52">
        <f t="shared" si="13"/>
        <v>135555.42229678202</v>
      </c>
      <c r="G40" s="51">
        <f>G38+G37+G32+G31+G39</f>
        <v>123864.89599084192</v>
      </c>
      <c r="H40" s="51">
        <f>H38+H37+H32+H31+H39</f>
        <v>0</v>
      </c>
      <c r="I40" s="52">
        <f t="shared" si="17"/>
        <v>123864.89599084192</v>
      </c>
      <c r="J40" s="51">
        <f>J38+J37+J32+J31+J39</f>
        <v>122106.16579220392</v>
      </c>
      <c r="K40" s="51">
        <f>K38+K37+K32+K31+K39</f>
        <v>0</v>
      </c>
      <c r="L40" s="52">
        <f t="shared" si="15"/>
        <v>122106.16579220392</v>
      </c>
      <c r="M40" s="51">
        <f>M38+M37+M32+M31+M39</f>
        <v>117713.97186300179</v>
      </c>
      <c r="N40" s="51">
        <f>N38+N37+N32+N31+N39</f>
        <v>0</v>
      </c>
      <c r="O40" s="52">
        <f t="shared" si="16"/>
        <v>117713.97186300179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4685.5135953536283</v>
      </c>
      <c r="E42" s="22">
        <v>0</v>
      </c>
      <c r="F42" s="36">
        <f t="shared" si="13"/>
        <v>4685.5135953536283</v>
      </c>
      <c r="G42" s="22">
        <v>8828.652626614874</v>
      </c>
      <c r="H42" s="22">
        <v>0</v>
      </c>
      <c r="I42" s="36">
        <f t="shared" si="17"/>
        <v>8828.652626614874</v>
      </c>
      <c r="J42" s="22">
        <v>8828.652626614874</v>
      </c>
      <c r="K42" s="22">
        <v>0</v>
      </c>
      <c r="L42" s="36">
        <f t="shared" si="15"/>
        <v>8828.652626614874</v>
      </c>
      <c r="M42" s="22">
        <v>8828.652626614874</v>
      </c>
      <c r="N42" s="22">
        <v>0</v>
      </c>
      <c r="O42" s="36">
        <f t="shared" si="16"/>
        <v>8828.652626614874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0</v>
      </c>
      <c r="F44" s="36">
        <f t="shared" si="13"/>
        <v>0</v>
      </c>
      <c r="G44" s="57">
        <v>0</v>
      </c>
      <c r="H44" s="57">
        <v>0</v>
      </c>
      <c r="I44" s="36">
        <f t="shared" si="17"/>
        <v>0</v>
      </c>
      <c r="J44" s="57">
        <v>0</v>
      </c>
      <c r="K44" s="57">
        <v>0</v>
      </c>
      <c r="L44" s="36">
        <f t="shared" si="15"/>
        <v>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415614.72439719609</v>
      </c>
      <c r="E47" s="59">
        <f>E25+E30+E40+E41+E42+E43+E44+E45</f>
        <v>0</v>
      </c>
      <c r="F47" s="60">
        <f>D47+E47</f>
        <v>415614.72439719609</v>
      </c>
      <c r="G47" s="59">
        <f>G25+G30+G40+G41+G42+G43+G44+G46</f>
        <v>418509.11702007829</v>
      </c>
      <c r="H47" s="59">
        <f>H25+H30+H40+H41+H42+H43+H44+H45+H46</f>
        <v>0</v>
      </c>
      <c r="I47" s="60">
        <f>G47+H47</f>
        <v>418509.11702007829</v>
      </c>
      <c r="J47" s="59">
        <f>J25+J30+J40+J41+J42+J43+J44+J46</f>
        <v>416750.3868214403</v>
      </c>
      <c r="K47" s="59">
        <f>K25+K30+K40+K41+K42+K43+K44+K45+K46</f>
        <v>0</v>
      </c>
      <c r="L47" s="60">
        <f>J47+K47</f>
        <v>416750.3868214403</v>
      </c>
      <c r="M47" s="59">
        <f>M25+M30+M40+M41+M42+M43+M44+M46</f>
        <v>412358.19289223815</v>
      </c>
      <c r="N47" s="59">
        <f>N25+N30+N40+N41+N42+N43+N44+N45+N46</f>
        <v>0</v>
      </c>
      <c r="O47" s="60">
        <f>M47+N47</f>
        <v>412358.19289223815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1021409.2217711785</v>
      </c>
      <c r="E49" s="65">
        <v>0</v>
      </c>
      <c r="F49" s="65">
        <f>D49+E49</f>
        <v>1021409.2217711785</v>
      </c>
      <c r="G49" s="65">
        <f>G50</f>
        <v>979013.65746428166</v>
      </c>
      <c r="H49" s="65">
        <v>0</v>
      </c>
      <c r="I49" s="65">
        <f t="shared" ref="I49" si="21">G49+H49</f>
        <v>979013.65746428166</v>
      </c>
      <c r="J49" s="65">
        <f>J50</f>
        <v>1032021.8456470433</v>
      </c>
      <c r="K49" s="65">
        <v>0</v>
      </c>
      <c r="L49" s="65">
        <f t="shared" ref="L49" si="22">J49+K49</f>
        <v>1032021.8456470433</v>
      </c>
      <c r="M49" s="65">
        <f>M50</f>
        <v>1017353.4117178412</v>
      </c>
      <c r="N49" s="65">
        <v>0</v>
      </c>
      <c r="O49" s="65">
        <f t="shared" ref="O49" si="23">M49+N49</f>
        <v>1017353.4117178412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1020047.8766143804</v>
      </c>
      <c r="E50" s="59">
        <f t="shared" si="24"/>
        <v>0</v>
      </c>
      <c r="F50" s="59">
        <f t="shared" si="24"/>
        <v>1020047.8766143804</v>
      </c>
      <c r="G50" s="59">
        <f>+G23+G47</f>
        <v>979013.65746428166</v>
      </c>
      <c r="H50" s="59">
        <f t="shared" si="24"/>
        <v>0</v>
      </c>
      <c r="I50" s="59">
        <f t="shared" si="24"/>
        <v>979013.65746428166</v>
      </c>
      <c r="J50" s="59">
        <f t="shared" si="24"/>
        <v>1032021.8456470433</v>
      </c>
      <c r="K50" s="59">
        <f>+K23+K47</f>
        <v>0</v>
      </c>
      <c r="L50" s="59">
        <f t="shared" si="24"/>
        <v>1032021.8456470433</v>
      </c>
      <c r="M50" s="59">
        <f>+M23+M47</f>
        <v>1017353.4117178412</v>
      </c>
      <c r="N50" s="59">
        <f t="shared" si="24"/>
        <v>0</v>
      </c>
      <c r="O50" s="59">
        <f t="shared" si="24"/>
        <v>1017353.4117178412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84689.124257147749</v>
      </c>
      <c r="E51" s="68"/>
      <c r="F51" s="146"/>
      <c r="G51" s="68">
        <f>G44+G20</f>
        <v>20190.321618600286</v>
      </c>
      <c r="H51" s="68"/>
      <c r="I51" s="146"/>
      <c r="J51" s="68">
        <f>J44+J20</f>
        <v>19503.240000000005</v>
      </c>
      <c r="K51" s="68"/>
      <c r="L51" s="146"/>
      <c r="M51" s="68">
        <f>M44+M20</f>
        <v>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0.8135</v>
      </c>
      <c r="G53" s="72"/>
      <c r="H53" s="73"/>
      <c r="I53" s="74">
        <v>0.8135</v>
      </c>
      <c r="J53" s="72"/>
      <c r="K53" s="73"/>
      <c r="L53" s="74">
        <v>0.8135</v>
      </c>
      <c r="M53" s="72"/>
      <c r="N53" s="73"/>
      <c r="O53" s="74">
        <v>0.8135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2881.4670000000001</v>
      </c>
      <c r="G54" s="34"/>
      <c r="H54" s="76"/>
      <c r="I54" s="77">
        <v>2881.4670000000001</v>
      </c>
      <c r="J54" s="34"/>
      <c r="K54" s="76"/>
      <c r="L54" s="77">
        <v>2881.4670000000001</v>
      </c>
      <c r="M54" s="34"/>
      <c r="N54" s="76"/>
      <c r="O54" s="77">
        <v>2881.4670000000001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32.660557389632572</v>
      </c>
      <c r="G55" s="34"/>
      <c r="H55" s="76"/>
      <c r="I55" s="78">
        <v>29.650133855251987</v>
      </c>
      <c r="J55" s="34"/>
      <c r="K55" s="76"/>
      <c r="L55" s="78">
        <v>31.577392555843367</v>
      </c>
      <c r="M55" s="34"/>
      <c r="N55" s="76"/>
      <c r="O55" s="78">
        <v>33.629923071973195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27.103354774495013</v>
      </c>
      <c r="G56" s="81"/>
      <c r="H56" s="82"/>
      <c r="I56" s="78">
        <v>27.103354774495013</v>
      </c>
      <c r="J56" s="81"/>
      <c r="K56" s="82"/>
      <c r="L56" s="78">
        <v>27.103354774495013</v>
      </c>
      <c r="M56" s="81"/>
      <c r="N56" s="82"/>
      <c r="O56" s="78">
        <v>27.103354774495013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-4.9920054005600345E-2</v>
      </c>
      <c r="G60" s="90"/>
      <c r="H60" s="76"/>
      <c r="I60" s="89">
        <v>-4.9920054005600345E-2</v>
      </c>
      <c r="J60" s="34"/>
      <c r="K60" s="91"/>
      <c r="L60" s="89">
        <v>-4.9920054005600345E-2</v>
      </c>
      <c r="M60" s="34"/>
      <c r="N60" s="76"/>
      <c r="O60" s="89">
        <v>-4.9920054005600345E-2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-4.9920054005600345E-2</v>
      </c>
      <c r="G61" s="90"/>
      <c r="H61" s="76"/>
      <c r="I61" s="92">
        <v>-4.9920054005600345E-2</v>
      </c>
      <c r="J61" s="34"/>
      <c r="K61" s="76"/>
      <c r="L61" s="93">
        <v>-4.9920054005600345E-2</v>
      </c>
      <c r="M61" s="34"/>
      <c r="N61" s="76"/>
      <c r="O61" s="92">
        <v>-4.9920054005600345E-2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0.9500799459943996</v>
      </c>
      <c r="G62" s="95"/>
      <c r="H62" s="82"/>
      <c r="I62" s="94">
        <v>0.9500799459943996</v>
      </c>
      <c r="J62" s="81"/>
      <c r="K62" s="82"/>
      <c r="L62" s="94">
        <v>0.9500799459943996</v>
      </c>
      <c r="M62" s="81"/>
      <c r="N62" s="82"/>
      <c r="O62" s="94">
        <v>0.9500799459943996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1020047.8766143804</v>
      </c>
      <c r="G72" s="34"/>
      <c r="H72" s="76"/>
      <c r="I72" s="108">
        <f>I50</f>
        <v>979013.65746428166</v>
      </c>
      <c r="J72" s="34"/>
      <c r="K72" s="76"/>
      <c r="L72" s="108">
        <f>L50</f>
        <v>1032021.8456470433</v>
      </c>
      <c r="M72" s="34"/>
      <c r="N72" s="76"/>
      <c r="O72" s="108">
        <f>O50</f>
        <v>1017353.4117178412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563518.23016999441</v>
      </c>
      <c r="G73" s="34"/>
      <c r="H73" s="76"/>
      <c r="I73" s="110">
        <f>F81</f>
        <v>494277.42155988712</v>
      </c>
      <c r="J73" s="34"/>
      <c r="K73" s="76"/>
      <c r="L73" s="110">
        <f>I81</f>
        <v>550526.01842421526</v>
      </c>
      <c r="M73" s="34"/>
      <c r="N73" s="76"/>
      <c r="O73" s="110">
        <f>L81</f>
        <v>615271.45882560301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290840.59232491942</v>
      </c>
      <c r="G74" s="34"/>
      <c r="H74" s="76"/>
      <c r="I74" s="110">
        <f>F82</f>
        <v>415614.72439719609</v>
      </c>
      <c r="J74" s="34"/>
      <c r="K74" s="76"/>
      <c r="L74" s="110">
        <f>I82</f>
        <v>418509.11702007835</v>
      </c>
      <c r="M74" s="34"/>
      <c r="N74" s="76"/>
      <c r="O74" s="110">
        <f>L82</f>
        <v>416750.3868214403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854358.82249491382</v>
      </c>
      <c r="G75" s="34"/>
      <c r="H75" s="76"/>
      <c r="I75" s="111">
        <f>SUM(I73:I74)</f>
        <v>909892.14595708321</v>
      </c>
      <c r="J75" s="34"/>
      <c r="K75" s="76"/>
      <c r="L75" s="111">
        <f>SUM(L73:L74)</f>
        <v>969035.13544429361</v>
      </c>
      <c r="M75" s="34"/>
      <c r="N75" s="76"/>
      <c r="O75" s="111">
        <f>SUM(O73:O74)</f>
        <v>1032021.8456470433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1.1939338012986376</v>
      </c>
      <c r="G76" s="81"/>
      <c r="H76" s="82"/>
      <c r="I76" s="112">
        <f>I72/I75</f>
        <v>1.075966708597635</v>
      </c>
      <c r="J76" s="81"/>
      <c r="K76" s="82"/>
      <c r="L76" s="112">
        <f>L72/L75</f>
        <v>1.0649994080698331</v>
      </c>
      <c r="M76" s="81"/>
      <c r="N76" s="82"/>
      <c r="O76" s="112">
        <f>O72/O75</f>
        <v>0.98578670210221608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909892.14595708321</v>
      </c>
      <c r="G78" s="73"/>
      <c r="H78" s="73"/>
      <c r="I78" s="115">
        <f>IF(I72&lt;=I75*I71,I72,I75*I71)</f>
        <v>969035.13544429361</v>
      </c>
      <c r="J78" s="73"/>
      <c r="K78" s="73"/>
      <c r="L78" s="115">
        <f>IF(L72&lt;=L75*L71,L72,L75*L71)</f>
        <v>1032021.8456470433</v>
      </c>
      <c r="M78" s="73"/>
      <c r="N78" s="73"/>
      <c r="O78" s="115">
        <f>IF(O72&lt;=O75*O71,O72,O75*O71)</f>
        <v>1017353.4117178412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110155.73065729719</v>
      </c>
      <c r="G79" s="34"/>
      <c r="H79" s="76"/>
      <c r="I79" s="117">
        <f>IF(I76&lt;=I71,0,I72-I78)</f>
        <v>9978.5220199880423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494277.42155988712</v>
      </c>
      <c r="E81" s="120">
        <f>E23</f>
        <v>0</v>
      </c>
      <c r="F81" s="115">
        <f>D81+E81</f>
        <v>494277.42155988712</v>
      </c>
      <c r="G81" s="119">
        <f>G23-I79</f>
        <v>550526.01842421526</v>
      </c>
      <c r="H81" s="120">
        <f>H23</f>
        <v>0</v>
      </c>
      <c r="I81" s="115">
        <f>G81+H81</f>
        <v>550526.01842421526</v>
      </c>
      <c r="J81" s="119">
        <f>J23-L79</f>
        <v>615271.45882560301</v>
      </c>
      <c r="K81" s="120">
        <f>K23</f>
        <v>0</v>
      </c>
      <c r="L81" s="115">
        <f>J81+K81</f>
        <v>615271.45882560301</v>
      </c>
      <c r="M81" s="119">
        <f>M23-O79</f>
        <v>604995.21882560302</v>
      </c>
      <c r="N81" s="120">
        <f>N23</f>
        <v>0</v>
      </c>
      <c r="O81" s="115">
        <f>M81+N81</f>
        <v>604995.21882560302</v>
      </c>
    </row>
    <row r="82" spans="1:52" s="14" customFormat="1" ht="20" customHeight="1" thickBot="1">
      <c r="B82" s="118" t="s">
        <v>72</v>
      </c>
      <c r="D82" s="121">
        <f>D50-D81-F79</f>
        <v>415614.72439719609</v>
      </c>
      <c r="E82" s="122">
        <f>E50-E81</f>
        <v>0</v>
      </c>
      <c r="F82" s="123">
        <f>D82+E82</f>
        <v>415614.72439719609</v>
      </c>
      <c r="G82" s="121">
        <f>G49-G81-I79</f>
        <v>418509.11702007835</v>
      </c>
      <c r="H82" s="122">
        <f>H50-H81</f>
        <v>0</v>
      </c>
      <c r="I82" s="123">
        <f>G82+H82</f>
        <v>418509.11702007835</v>
      </c>
      <c r="J82" s="121">
        <f>J50-J81-L79</f>
        <v>416750.3868214403</v>
      </c>
      <c r="K82" s="122">
        <f>K50-K81</f>
        <v>0</v>
      </c>
      <c r="L82" s="123">
        <f>J82+K82</f>
        <v>416750.3868214403</v>
      </c>
      <c r="M82" s="121">
        <f>M49-M81-O79</f>
        <v>412358.19289223815</v>
      </c>
      <c r="N82" s="122">
        <f>N50-N81</f>
        <v>0</v>
      </c>
      <c r="O82" s="123">
        <f>M82+N82</f>
        <v>412358.19289223815</v>
      </c>
    </row>
    <row r="83" spans="1:52" s="124" customFormat="1" ht="17.25" customHeight="1" thickBot="1">
      <c r="B83" s="125" t="s">
        <v>73</v>
      </c>
      <c r="C83" s="14"/>
      <c r="D83" s="126">
        <f>SUM(D81:D82)</f>
        <v>909892.14595708321</v>
      </c>
      <c r="E83" s="127">
        <f t="shared" ref="E83:O83" si="25">SUM(E81:E82)</f>
        <v>0</v>
      </c>
      <c r="F83" s="128">
        <f t="shared" si="25"/>
        <v>909892.14595708321</v>
      </c>
      <c r="G83" s="126">
        <f t="shared" si="25"/>
        <v>969035.13544429361</v>
      </c>
      <c r="H83" s="127">
        <f t="shared" si="25"/>
        <v>0</v>
      </c>
      <c r="I83" s="128">
        <f t="shared" si="25"/>
        <v>969035.13544429361</v>
      </c>
      <c r="J83" s="126">
        <f t="shared" si="25"/>
        <v>1032021.8456470433</v>
      </c>
      <c r="K83" s="127">
        <f t="shared" si="25"/>
        <v>0</v>
      </c>
      <c r="L83" s="128">
        <f t="shared" si="25"/>
        <v>1032021.8456470433</v>
      </c>
      <c r="M83" s="126">
        <f t="shared" si="25"/>
        <v>1017353.4117178412</v>
      </c>
      <c r="N83" s="127">
        <f t="shared" si="25"/>
        <v>0</v>
      </c>
      <c r="O83" s="128">
        <f t="shared" si="25"/>
        <v>1017353.4117178412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494277.42155988712</v>
      </c>
      <c r="G88" s="72"/>
      <c r="H88" s="73"/>
      <c r="I88" s="136">
        <f>I81-I85</f>
        <v>550526.01842421526</v>
      </c>
      <c r="J88" s="72"/>
      <c r="K88" s="73"/>
      <c r="L88" s="136">
        <f>L81-L85</f>
        <v>615271.45882560301</v>
      </c>
      <c r="M88" s="72"/>
      <c r="N88" s="73"/>
      <c r="O88" s="136">
        <f>O81-O85</f>
        <v>604995.21882560302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415614.72439719609</v>
      </c>
      <c r="G89" s="34"/>
      <c r="H89" s="76"/>
      <c r="I89" s="138">
        <f>I82-I86</f>
        <v>418509.11702007835</v>
      </c>
      <c r="J89" s="34"/>
      <c r="K89" s="76"/>
      <c r="L89" s="138">
        <f>L82-L86</f>
        <v>416750.3868214403</v>
      </c>
      <c r="M89" s="34"/>
      <c r="N89" s="76"/>
      <c r="O89" s="138">
        <f>O82-O86</f>
        <v>412358.19289223815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909892.14595708321</v>
      </c>
      <c r="G90" s="81"/>
      <c r="H90" s="82"/>
      <c r="I90" s="139">
        <f>+I88+I89</f>
        <v>969035.13544429361</v>
      </c>
      <c r="J90" s="81"/>
      <c r="K90" s="82"/>
      <c r="L90" s="139">
        <f>+L88+L89</f>
        <v>1032021.8456470433</v>
      </c>
      <c r="M90" s="81"/>
      <c r="N90" s="82"/>
      <c r="O90" s="139">
        <f>+O88+O89</f>
        <v>1017353.4117178412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-149.2653316725191</v>
      </c>
      <c r="E92" s="143">
        <v>0</v>
      </c>
      <c r="F92" s="144">
        <f>D92+E92</f>
        <v>-149.2653316725191</v>
      </c>
      <c r="G92" s="142">
        <v>-7076.0527532173401</v>
      </c>
      <c r="H92" s="143">
        <v>0</v>
      </c>
      <c r="I92" s="144">
        <f>G92+H92</f>
        <v>-7076.0527532173401</v>
      </c>
      <c r="J92" s="142">
        <v>-7076.0527532173401</v>
      </c>
      <c r="K92" s="143">
        <v>0</v>
      </c>
      <c r="L92" s="144">
        <f>J92+K92</f>
        <v>-7076.0527532173401</v>
      </c>
      <c r="M92" s="142">
        <v>-7076.0527532173401</v>
      </c>
      <c r="N92" s="143">
        <v>0</v>
      </c>
      <c r="O92" s="144">
        <f>M92+N92</f>
        <v>-7076.0527532173401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973627.68032857566</v>
      </c>
      <c r="E96" s="166">
        <f>E6+E7+E8+E9+E11+E25+E30+E40+E42+E21+E45</f>
        <v>0</v>
      </c>
      <c r="F96" s="166">
        <f t="shared" ref="F96" si="26">F6+F7+F8+F9+F11+F25+F30+F40+F42</f>
        <v>973627.68032857566</v>
      </c>
      <c r="G96" s="166">
        <f t="shared" ref="G96" si="27">G6+G7+G8+G9+G11+G25+G30+G40+G42+G21+G45</f>
        <v>997054.03311975021</v>
      </c>
      <c r="H96" s="166">
        <f t="shared" ref="H96" si="28">H6+H7+H8+H9+H11+H25+H30+H40+H42</f>
        <v>0</v>
      </c>
      <c r="I96" s="166">
        <f t="shared" ref="I96" si="29">I6+I7+I8+I9+I11+I25+I30+I40+I42+I21+I45</f>
        <v>997054.03311975021</v>
      </c>
      <c r="J96" s="166">
        <f t="shared" ref="J96" si="30">J6+J7+J8+J9+J11+J25+J30+J40+J42</f>
        <v>995295.30292111228</v>
      </c>
      <c r="K96" s="166">
        <f t="shared" ref="K96" si="31">K6+K7+K8+K9+K11+K25+K30+K40+K42+K21+K45</f>
        <v>0</v>
      </c>
      <c r="L96" s="166">
        <f t="shared" ref="L96" si="32">L6+L7+L8+L9+L11+L25+L30+L40+L42</f>
        <v>995295.30292111228</v>
      </c>
      <c r="M96" s="166">
        <f t="shared" ref="M96" si="33">M6+M7+M8+M9+M11+M25+M30+M40+M42+M21+M45</f>
        <v>990903.10899191012</v>
      </c>
      <c r="N96" s="166">
        <f t="shared" ref="N96" si="34">N6+N7+N8+N9+N11+N25+N30+N40+N42</f>
        <v>0</v>
      </c>
      <c r="O96" s="166">
        <f t="shared" ref="O96" si="35">O6+O7+O8+O9+O11+O25+O30+O40+O42+O21+O45</f>
        <v>990903.10899191012</v>
      </c>
    </row>
    <row r="97" spans="4:15" s="14" customFormat="1">
      <c r="D97" s="166">
        <f>D96-D15-D19</f>
        <v>935358.75235723262</v>
      </c>
      <c r="E97" s="166">
        <f>E96-E15-E19</f>
        <v>0</v>
      </c>
      <c r="F97" s="166">
        <f t="shared" ref="F97:O97" si="36">F96-F15-F19</f>
        <v>935358.75235723262</v>
      </c>
      <c r="G97" s="166">
        <f t="shared" si="36"/>
        <v>958823.33584568126</v>
      </c>
      <c r="H97" s="166">
        <f t="shared" si="36"/>
        <v>0</v>
      </c>
      <c r="I97" s="166">
        <f t="shared" si="36"/>
        <v>958823.33584568126</v>
      </c>
      <c r="J97" s="166">
        <f t="shared" si="36"/>
        <v>957064.60564704333</v>
      </c>
      <c r="K97" s="166">
        <f t="shared" si="36"/>
        <v>0</v>
      </c>
      <c r="L97" s="166">
        <f t="shared" si="36"/>
        <v>957064.60564704333</v>
      </c>
      <c r="M97" s="166">
        <f t="shared" si="36"/>
        <v>952672.41171784117</v>
      </c>
      <c r="N97" s="166">
        <f t="shared" si="36"/>
        <v>0</v>
      </c>
      <c r="O97" s="166">
        <f t="shared" si="36"/>
        <v>952672.41171784117</v>
      </c>
    </row>
    <row r="98" spans="4:15" s="14" customFormat="1">
      <c r="D98" s="166">
        <f>D20+D44</f>
        <v>84689.124257147749</v>
      </c>
      <c r="E98" s="166">
        <f>E20+E44</f>
        <v>0</v>
      </c>
      <c r="F98" s="166">
        <f t="shared" ref="F98:O98" si="37">F20+F44</f>
        <v>84689.124257147749</v>
      </c>
      <c r="G98" s="166">
        <f t="shared" si="37"/>
        <v>20190.321618600286</v>
      </c>
      <c r="H98" s="166">
        <f t="shared" si="37"/>
        <v>0</v>
      </c>
      <c r="I98" s="166">
        <f t="shared" si="37"/>
        <v>20190.321618600286</v>
      </c>
      <c r="J98" s="166">
        <f t="shared" si="37"/>
        <v>19503.240000000005</v>
      </c>
      <c r="K98" s="166">
        <f t="shared" si="37"/>
        <v>0</v>
      </c>
      <c r="L98" s="166">
        <f t="shared" si="37"/>
        <v>19503.240000000005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66" priority="7" operator="containsText" text="ERRORE">
      <formula>NOT(ISERROR(SEARCH("ERRORE",F81)))</formula>
    </cfRule>
  </conditionalFormatting>
  <conditionalFormatting sqref="I83">
    <cfRule type="containsText" dxfId="165" priority="6" operator="containsText" text="ERRORE">
      <formula>NOT(ISERROR(SEARCH("ERRORE",I83)))</formula>
    </cfRule>
  </conditionalFormatting>
  <conditionalFormatting sqref="I81:I82">
    <cfRule type="containsText" dxfId="164" priority="5" operator="containsText" text="ERRORE">
      <formula>NOT(ISERROR(SEARCH("ERRORE",I81)))</formula>
    </cfRule>
  </conditionalFormatting>
  <conditionalFormatting sqref="L83">
    <cfRule type="containsText" dxfId="163" priority="4" operator="containsText" text="ERRORE">
      <formula>NOT(ISERROR(SEARCH("ERRORE",L83)))</formula>
    </cfRule>
  </conditionalFormatting>
  <conditionalFormatting sqref="L81:L82">
    <cfRule type="containsText" dxfId="162" priority="3" operator="containsText" text="ERRORE">
      <formula>NOT(ISERROR(SEARCH("ERRORE",L81)))</formula>
    </cfRule>
  </conditionalFormatting>
  <conditionalFormatting sqref="O83">
    <cfRule type="containsText" dxfId="161" priority="2" operator="containsText" text="ERRORE">
      <formula>NOT(ISERROR(SEARCH("ERRORE",O83)))</formula>
    </cfRule>
  </conditionalFormatting>
  <conditionalFormatting sqref="O81:O82">
    <cfRule type="containsText" dxfId="160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A68" zoomScale="70" zoomScaleNormal="70" zoomScalePageLayoutView="70" workbookViewId="0">
      <selection activeCell="F82" sqref="F82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95</v>
      </c>
      <c r="B1" s="2" t="str">
        <f>"       PEF 2022 - 2025"&amp;" - "&amp;A1</f>
        <v xml:space="preserve">       PEF 2022 - 2025 - Jesolo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133</v>
      </c>
      <c r="E4" s="188"/>
      <c r="F4" s="189"/>
      <c r="G4" s="187" t="str">
        <f>D4</f>
        <v>Ambito tariffario: Jesolo</v>
      </c>
      <c r="H4" s="188"/>
      <c r="I4" s="189"/>
      <c r="J4" s="187" t="str">
        <f>D4</f>
        <v>Ambito tariffario: Jesolo</v>
      </c>
      <c r="K4" s="188"/>
      <c r="L4" s="189"/>
      <c r="M4" s="187" t="str">
        <f>D4</f>
        <v>Ambito tariffario: Jesolo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1380136.6695851672</v>
      </c>
      <c r="E6" s="22">
        <v>0</v>
      </c>
      <c r="F6" s="23">
        <f>D6+E6</f>
        <v>1380136.6695851672</v>
      </c>
      <c r="G6" s="22">
        <v>1427687.6232917535</v>
      </c>
      <c r="H6" s="22">
        <v>0</v>
      </c>
      <c r="I6" s="23">
        <f>G6+H6</f>
        <v>1427687.6232917535</v>
      </c>
      <c r="J6" s="22">
        <v>1427687.6232917535</v>
      </c>
      <c r="K6" s="22">
        <v>0</v>
      </c>
      <c r="L6" s="23">
        <f>J6+K6</f>
        <v>1427687.6232917535</v>
      </c>
      <c r="M6" s="22">
        <v>1427687.6232917535</v>
      </c>
      <c r="N6" s="22">
        <v>0</v>
      </c>
      <c r="O6" s="23">
        <f>M6+N6</f>
        <v>1427687.6232917535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1742644.2966696757</v>
      </c>
      <c r="E7" s="22">
        <v>0</v>
      </c>
      <c r="F7" s="23">
        <f t="shared" ref="F7:F20" si="0">D7+E7</f>
        <v>1742644.2966696757</v>
      </c>
      <c r="G7" s="22">
        <v>1824167.797557673</v>
      </c>
      <c r="H7" s="22">
        <v>0</v>
      </c>
      <c r="I7" s="23">
        <f t="shared" ref="I7:I13" si="1">G7+H7</f>
        <v>1824167.797557673</v>
      </c>
      <c r="J7" s="22">
        <v>1824167.797557673</v>
      </c>
      <c r="K7" s="22">
        <v>0</v>
      </c>
      <c r="L7" s="23">
        <f t="shared" ref="L7:L12" si="2">J7+K7</f>
        <v>1824167.797557673</v>
      </c>
      <c r="M7" s="22">
        <v>1824167.797557673</v>
      </c>
      <c r="N7" s="22">
        <v>0</v>
      </c>
      <c r="O7" s="23">
        <f t="shared" ref="O7:O13" si="3">M7+N7</f>
        <v>1824167.797557673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871258.89971380727</v>
      </c>
      <c r="E8" s="22">
        <v>0</v>
      </c>
      <c r="F8" s="23">
        <f t="shared" si="0"/>
        <v>871258.89971380727</v>
      </c>
      <c r="G8" s="22">
        <v>912039.05845417979</v>
      </c>
      <c r="H8" s="22">
        <v>0</v>
      </c>
      <c r="I8" s="23">
        <f t="shared" si="1"/>
        <v>912039.05845417979</v>
      </c>
      <c r="J8" s="22">
        <v>912039.05845417979</v>
      </c>
      <c r="K8" s="22">
        <v>0</v>
      </c>
      <c r="L8" s="23">
        <f t="shared" si="2"/>
        <v>912039.05845417979</v>
      </c>
      <c r="M8" s="22">
        <v>912039.05845417979</v>
      </c>
      <c r="N8" s="22">
        <v>0</v>
      </c>
      <c r="O8" s="23">
        <f t="shared" si="3"/>
        <v>912039.05845417979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3125273.5490605789</v>
      </c>
      <c r="E9" s="22">
        <v>0</v>
      </c>
      <c r="F9" s="23">
        <f t="shared" si="0"/>
        <v>3125273.5490605789</v>
      </c>
      <c r="G9" s="22">
        <v>3217849.9844504758</v>
      </c>
      <c r="H9" s="22">
        <v>0</v>
      </c>
      <c r="I9" s="23">
        <f t="shared" si="1"/>
        <v>3217849.9844504758</v>
      </c>
      <c r="J9" s="22">
        <v>3217849.9844504758</v>
      </c>
      <c r="K9" s="22">
        <v>0</v>
      </c>
      <c r="L9" s="23">
        <f t="shared" si="2"/>
        <v>3217849.9844504758</v>
      </c>
      <c r="M9" s="22">
        <v>3217849.9844504758</v>
      </c>
      <c r="N9" s="22">
        <v>0</v>
      </c>
      <c r="O9" s="23">
        <f t="shared" si="3"/>
        <v>3217849.9844504758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30361.508581640377</v>
      </c>
      <c r="E11" s="22">
        <v>0</v>
      </c>
      <c r="F11" s="23">
        <f t="shared" si="0"/>
        <v>30361.508581640377</v>
      </c>
      <c r="G11" s="22">
        <v>30361.508581640377</v>
      </c>
      <c r="H11" s="22">
        <v>0</v>
      </c>
      <c r="I11" s="23">
        <f t="shared" si="1"/>
        <v>30361.508581640377</v>
      </c>
      <c r="J11" s="22">
        <v>30361.508581640377</v>
      </c>
      <c r="K11" s="22">
        <v>0</v>
      </c>
      <c r="L11" s="23">
        <f t="shared" si="2"/>
        <v>30361.508581640377</v>
      </c>
      <c r="M11" s="22">
        <v>30361.508581640377</v>
      </c>
      <c r="N11" s="22">
        <v>0</v>
      </c>
      <c r="O11" s="23">
        <f t="shared" si="3"/>
        <v>30361.508581640377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386530.79228044412</v>
      </c>
      <c r="E13" s="22">
        <v>0</v>
      </c>
      <c r="F13" s="23">
        <f t="shared" si="0"/>
        <v>386530.79228044412</v>
      </c>
      <c r="G13" s="22">
        <v>386144.64763281128</v>
      </c>
      <c r="H13" s="22">
        <v>0</v>
      </c>
      <c r="I13" s="23">
        <f t="shared" si="1"/>
        <v>386144.64763281128</v>
      </c>
      <c r="J13" s="22">
        <v>386144.64763281128</v>
      </c>
      <c r="K13" s="22">
        <v>0</v>
      </c>
      <c r="L13" s="23">
        <f>J13+K13</f>
        <v>386144.64763281128</v>
      </c>
      <c r="M13" s="22">
        <v>386144.64763281128</v>
      </c>
      <c r="N13" s="22">
        <v>0</v>
      </c>
      <c r="O13" s="23">
        <f t="shared" si="3"/>
        <v>386144.64763281128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231918.47536826646</v>
      </c>
      <c r="E15" s="22">
        <v>0</v>
      </c>
      <c r="F15" s="23">
        <f t="shared" si="0"/>
        <v>231918.47536826646</v>
      </c>
      <c r="G15" s="22">
        <v>231686.78857968675</v>
      </c>
      <c r="H15" s="22">
        <v>0</v>
      </c>
      <c r="I15" s="23">
        <f t="shared" ref="I15:I16" si="4">G15+H15</f>
        <v>231686.78857968675</v>
      </c>
      <c r="J15" s="22">
        <v>231686.78857968675</v>
      </c>
      <c r="K15" s="22">
        <v>0</v>
      </c>
      <c r="L15" s="23">
        <f t="shared" ref="L15:L16" si="5">J15+K15</f>
        <v>231686.78857968675</v>
      </c>
      <c r="M15" s="22">
        <v>231686.78857968675</v>
      </c>
      <c r="N15" s="22">
        <v>0</v>
      </c>
      <c r="O15" s="23">
        <f t="shared" ref="O15:O16" si="6">M15+N15</f>
        <v>231686.78857968675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13448.751896674083</v>
      </c>
      <c r="E16" s="22">
        <v>0</v>
      </c>
      <c r="F16" s="23">
        <f t="shared" si="0"/>
        <v>13448.751896674083</v>
      </c>
      <c r="G16" s="22">
        <v>13435.316580093991</v>
      </c>
      <c r="H16" s="22">
        <v>0</v>
      </c>
      <c r="I16" s="23">
        <f t="shared" si="4"/>
        <v>13435.316580093991</v>
      </c>
      <c r="J16" s="22">
        <v>13435.316580093991</v>
      </c>
      <c r="K16" s="22">
        <v>0</v>
      </c>
      <c r="L16" s="23">
        <f t="shared" si="5"/>
        <v>13435.316580093991</v>
      </c>
      <c r="M16" s="22">
        <v>13435.316580093991</v>
      </c>
      <c r="N16" s="22">
        <v>0</v>
      </c>
      <c r="O16" s="23">
        <f t="shared" si="6"/>
        <v>13435.316580093991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0.3</v>
      </c>
      <c r="E17" s="29">
        <v>0.3</v>
      </c>
      <c r="F17" s="30">
        <f>D17</f>
        <v>0.3</v>
      </c>
      <c r="G17" s="29">
        <v>0.3</v>
      </c>
      <c r="H17" s="29">
        <v>0.3</v>
      </c>
      <c r="I17" s="30">
        <f>G17</f>
        <v>0.3</v>
      </c>
      <c r="J17" s="29">
        <v>0.3</v>
      </c>
      <c r="K17" s="29">
        <v>0.3</v>
      </c>
      <c r="L17" s="30">
        <v>0.3</v>
      </c>
      <c r="M17" s="29">
        <v>0.3</v>
      </c>
      <c r="N17" s="29">
        <v>0.3</v>
      </c>
      <c r="O17" s="30">
        <f>N17</f>
        <v>0.3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0.78</v>
      </c>
      <c r="E18" s="29">
        <v>0.78</v>
      </c>
      <c r="F18" s="31">
        <f>IF(D18=E18,D18,"n.d.")</f>
        <v>0.78</v>
      </c>
      <c r="G18" s="29">
        <v>0.78</v>
      </c>
      <c r="H18" s="29">
        <v>0.78</v>
      </c>
      <c r="I18" s="31">
        <f>IF(G18=H18,G18,"n.d.")</f>
        <v>0.78</v>
      </c>
      <c r="J18" s="29">
        <v>0.78</v>
      </c>
      <c r="K18" s="29">
        <v>0.78</v>
      </c>
      <c r="L18" s="31">
        <f>IF(J18=K18,J18,"n.d.")</f>
        <v>0.78</v>
      </c>
      <c r="M18" s="29">
        <v>0.78</v>
      </c>
      <c r="N18" s="29">
        <v>0.78</v>
      </c>
      <c r="O18" s="31">
        <f>IF(M18=N18,M18,"n.d.")</f>
        <v>0.78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10490.026479405786</v>
      </c>
      <c r="E19" s="22">
        <v>0</v>
      </c>
      <c r="F19" s="23">
        <f t="shared" si="0"/>
        <v>10490.026479405786</v>
      </c>
      <c r="G19" s="22">
        <v>10479.546932473313</v>
      </c>
      <c r="H19" s="22">
        <v>0</v>
      </c>
      <c r="I19" s="23">
        <f t="shared" ref="I19:I20" si="7">G19+H19</f>
        <v>10479.546932473313</v>
      </c>
      <c r="J19" s="22">
        <v>10479.546932473313</v>
      </c>
      <c r="K19" s="22">
        <v>0</v>
      </c>
      <c r="L19" s="23">
        <f t="shared" ref="L19:L20" si="8">J19+K19</f>
        <v>10479.546932473313</v>
      </c>
      <c r="M19" s="32">
        <v>10479.546932473313</v>
      </c>
      <c r="N19" s="33">
        <v>0</v>
      </c>
      <c r="O19" s="23">
        <f t="shared" ref="O19:O20" si="9">M19+N19</f>
        <v>10479.546932473313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-60233.709816091243</v>
      </c>
      <c r="E20" s="22">
        <v>0</v>
      </c>
      <c r="F20" s="23">
        <f t="shared" si="0"/>
        <v>-60233.709816091243</v>
      </c>
      <c r="G20" s="22">
        <v>0</v>
      </c>
      <c r="H20" s="22">
        <v>0</v>
      </c>
      <c r="I20" s="23">
        <f t="shared" si="7"/>
        <v>0</v>
      </c>
      <c r="J20" s="22">
        <v>-54449.527499999997</v>
      </c>
      <c r="K20" s="22">
        <v>0</v>
      </c>
      <c r="L20" s="23">
        <f t="shared" si="8"/>
        <v>-54449.527499999997</v>
      </c>
      <c r="M20" s="22">
        <v>45000</v>
      </c>
      <c r="N20" s="22">
        <v>0</v>
      </c>
      <c r="O20" s="23">
        <f t="shared" si="9"/>
        <v>45000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684703.27119471063</v>
      </c>
      <c r="F21" s="23">
        <f>E21</f>
        <v>684703.27119471063</v>
      </c>
      <c r="G21" s="34"/>
      <c r="H21" s="22">
        <f>G23*0.1</f>
        <v>716993.96368235629</v>
      </c>
      <c r="I21" s="23">
        <f>H21</f>
        <v>716993.96368235629</v>
      </c>
      <c r="J21" s="34"/>
      <c r="K21" s="22">
        <f>J23*0.1</f>
        <v>711549.01093235635</v>
      </c>
      <c r="L21" s="23">
        <f>K21</f>
        <v>711549.01093235635</v>
      </c>
      <c r="M21" s="34"/>
      <c r="N21" s="22">
        <f>M23*0.1</f>
        <v>721493.96368235629</v>
      </c>
      <c r="O21" s="23">
        <f>N21</f>
        <v>721493.96368235629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6847032.7119471058</v>
      </c>
      <c r="E23" s="38">
        <f>E6+E7+E8+E9+E10+E11+E12-E15-E19+E20+E21</f>
        <v>684703.27119471063</v>
      </c>
      <c r="F23" s="38">
        <f>D23+E23</f>
        <v>7531735.9831418162</v>
      </c>
      <c r="G23" s="38">
        <f>G6+G7+G8+G9+G10+G11+G12-G15-G19+G20+G22</f>
        <v>7169939.6368235629</v>
      </c>
      <c r="H23" s="38">
        <f>H6+H7+H8+H9+H10+H11+H12-H15-H19+H20+H21+H22</f>
        <v>716993.96368235629</v>
      </c>
      <c r="I23" s="38">
        <f>G23+H23</f>
        <v>7886933.6005059192</v>
      </c>
      <c r="J23" s="38">
        <f>J6+J7+J8+J9+J10+J11+J12-J15-J19+J20+J22</f>
        <v>7115490.1093235631</v>
      </c>
      <c r="K23" s="38">
        <f>K6+K7+K8+K9+K10+K11+K12-K15-K19+K20+K21+K22</f>
        <v>711549.01093235635</v>
      </c>
      <c r="L23" s="38">
        <f>J23+K23</f>
        <v>7827039.1202559192</v>
      </c>
      <c r="M23" s="38">
        <f>M6+M7+M8+M9+M10+M11+M12-M15-M19+M20+M22</f>
        <v>7214939.6368235629</v>
      </c>
      <c r="N23" s="38">
        <f>N6+N7+N8+N9+N10+N11+N12-N15-N19+N20+N21+N22</f>
        <v>721493.96368235629</v>
      </c>
      <c r="O23" s="38">
        <f>M23+N23</f>
        <v>7936433.6005059192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1636895.6496729255</v>
      </c>
      <c r="E25" s="44">
        <v>0</v>
      </c>
      <c r="F25" s="45">
        <f t="shared" ref="F25:F44" si="13">D25+E25</f>
        <v>1636895.6496729255</v>
      </c>
      <c r="G25" s="44">
        <v>1710976.6402074441</v>
      </c>
      <c r="H25" s="44">
        <v>0</v>
      </c>
      <c r="I25" s="45">
        <f t="shared" ref="I25:I33" si="14">G25+H25</f>
        <v>1710976.6402074441</v>
      </c>
      <c r="J25" s="44">
        <v>1710976.6402074441</v>
      </c>
      <c r="K25" s="44">
        <v>0</v>
      </c>
      <c r="L25" s="45">
        <f t="shared" ref="L25:L44" si="15">J25+K25</f>
        <v>1710976.6402074441</v>
      </c>
      <c r="M25" s="44">
        <v>1710976.6402074441</v>
      </c>
      <c r="N25" s="44">
        <v>0</v>
      </c>
      <c r="O25" s="45">
        <f t="shared" ref="O25:O43" si="16">M25+N25</f>
        <v>1710976.6402074441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405171.49465876853</v>
      </c>
      <c r="E26" s="22">
        <v>272651.96140181995</v>
      </c>
      <c r="F26" s="36">
        <f t="shared" si="13"/>
        <v>677823.45606058848</v>
      </c>
      <c r="G26" s="22">
        <v>417040.67255591881</v>
      </c>
      <c r="H26" s="22">
        <v>290024.69159999996</v>
      </c>
      <c r="I26" s="36">
        <f t="shared" si="14"/>
        <v>707065.36415591883</v>
      </c>
      <c r="J26" s="22">
        <v>417040.67255591881</v>
      </c>
      <c r="K26" s="22">
        <v>290024.69159999996</v>
      </c>
      <c r="L26" s="36">
        <f t="shared" si="15"/>
        <v>707065.36415591883</v>
      </c>
      <c r="M26" s="22">
        <v>417040.67255591881</v>
      </c>
      <c r="N26" s="22">
        <v>290024.69159999996</v>
      </c>
      <c r="O26" s="36">
        <f t="shared" si="16"/>
        <v>707065.36415591883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962709.30496819271</v>
      </c>
      <c r="E27" s="47">
        <v>3610.8071999999993</v>
      </c>
      <c r="F27" s="48">
        <f t="shared" si="13"/>
        <v>966320.11216819275</v>
      </c>
      <c r="G27" s="47">
        <v>999779.7612200632</v>
      </c>
      <c r="H27" s="47">
        <v>17499.529200000001</v>
      </c>
      <c r="I27" s="48">
        <f t="shared" si="14"/>
        <v>1017279.2904200632</v>
      </c>
      <c r="J27" s="47">
        <v>999779.7612200632</v>
      </c>
      <c r="K27" s="47">
        <v>17499.529200000001</v>
      </c>
      <c r="L27" s="48">
        <f t="shared" si="15"/>
        <v>1017279.2904200632</v>
      </c>
      <c r="M27" s="47">
        <v>999779.7612200632</v>
      </c>
      <c r="N27" s="47">
        <v>17499.529200000001</v>
      </c>
      <c r="O27" s="48">
        <f t="shared" si="16"/>
        <v>1017279.2904200632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24858.019053976437</v>
      </c>
      <c r="E29" s="47">
        <v>14687</v>
      </c>
      <c r="F29" s="48">
        <f t="shared" si="13"/>
        <v>39545.019053976437</v>
      </c>
      <c r="G29" s="47">
        <v>25036.602998467428</v>
      </c>
      <c r="H29" s="47">
        <v>14687</v>
      </c>
      <c r="I29" s="48">
        <f t="shared" si="14"/>
        <v>39723.602998467424</v>
      </c>
      <c r="J29" s="47">
        <v>25036.602998467428</v>
      </c>
      <c r="K29" s="47">
        <v>14687</v>
      </c>
      <c r="L29" s="48">
        <f t="shared" si="15"/>
        <v>39723.602998467424</v>
      </c>
      <c r="M29" s="47">
        <v>25036.602998467428</v>
      </c>
      <c r="N29" s="47">
        <v>14687</v>
      </c>
      <c r="O29" s="48">
        <f t="shared" si="16"/>
        <v>39723.602998467424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1392738.8186809379</v>
      </c>
      <c r="E30" s="51">
        <f>+E26+E27+E28+E29</f>
        <v>290949.76860181993</v>
      </c>
      <c r="F30" s="52">
        <f t="shared" si="13"/>
        <v>1683688.5872827577</v>
      </c>
      <c r="G30" s="51">
        <f>+G26+G27+G28+G29</f>
        <v>1441857.0367744493</v>
      </c>
      <c r="H30" s="51">
        <f>+H26+H27+H28+H29</f>
        <v>322211.22079999995</v>
      </c>
      <c r="I30" s="52">
        <f t="shared" si="14"/>
        <v>1764068.2575744493</v>
      </c>
      <c r="J30" s="51">
        <f>+J26+J27+J28+J29</f>
        <v>1441857.0367744493</v>
      </c>
      <c r="K30" s="51">
        <f>+K26+K27+K28+K29</f>
        <v>322211.22079999995</v>
      </c>
      <c r="L30" s="52">
        <f t="shared" si="15"/>
        <v>1764068.2575744493</v>
      </c>
      <c r="M30" s="51">
        <f>+M26+M27+M28+M29</f>
        <v>1441857.0367744493</v>
      </c>
      <c r="N30" s="51">
        <f>+N26+N27+N28+N29</f>
        <v>322211.22079999995</v>
      </c>
      <c r="O30" s="52">
        <f t="shared" si="16"/>
        <v>1764068.2575744493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520195.91182683071</v>
      </c>
      <c r="E31" s="53">
        <v>0</v>
      </c>
      <c r="F31" s="48">
        <f t="shared" si="13"/>
        <v>520195.91182683071</v>
      </c>
      <c r="G31" s="147">
        <f>VLOOKUP($A$1,REM_ToolEnrico!$B$5:$J$38,4,FALSE)</f>
        <v>518911.34638337372</v>
      </c>
      <c r="H31" s="53">
        <v>0</v>
      </c>
      <c r="I31" s="48">
        <f t="shared" si="14"/>
        <v>518911.34638337372</v>
      </c>
      <c r="J31" s="147">
        <f>VLOOKUP($A$1,REM_ToolEnrico!$B$5:$J$38,6,FALSE)</f>
        <v>608440.69309930457</v>
      </c>
      <c r="K31" s="53">
        <v>0</v>
      </c>
      <c r="L31" s="48">
        <f t="shared" si="15"/>
        <v>608440.69309930457</v>
      </c>
      <c r="M31" s="147">
        <f>VLOOKUP($A$1,REM_ToolEnrico!$B$5:$J$38,8,FALSE)</f>
        <v>582062.12300113204</v>
      </c>
      <c r="N31" s="53">
        <v>0</v>
      </c>
      <c r="O31" s="48">
        <f t="shared" si="16"/>
        <v>582062.12300113204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791772.253908035</v>
      </c>
      <c r="F32" s="48">
        <f t="shared" si="13"/>
        <v>791772.253908035</v>
      </c>
      <c r="G32" s="54">
        <f>+G33+G34+G35+G36</f>
        <v>0</v>
      </c>
      <c r="H32" s="54">
        <f>+H33+H34+H35+H36</f>
        <v>823836.38399999996</v>
      </c>
      <c r="I32" s="48">
        <f t="shared" si="14"/>
        <v>823836.38399999996</v>
      </c>
      <c r="J32" s="54">
        <f>+J33+J34+J35+J36</f>
        <v>0</v>
      </c>
      <c r="K32" s="54">
        <f>+K33+K34+K35+K36</f>
        <v>823836.38399999996</v>
      </c>
      <c r="L32" s="48">
        <f t="shared" si="15"/>
        <v>823836.38399999996</v>
      </c>
      <c r="M32" s="54">
        <f>+M33+M34+M35+M36</f>
        <v>0</v>
      </c>
      <c r="N32" s="54">
        <f>+N33+N34+N35+N36</f>
        <v>823836.38399999996</v>
      </c>
      <c r="O32" s="48">
        <f t="shared" si="16"/>
        <v>823836.38399999996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791772.253908035</v>
      </c>
      <c r="F34" s="48">
        <f>D34+E34</f>
        <v>791772.253908035</v>
      </c>
      <c r="G34" s="47">
        <v>0</v>
      </c>
      <c r="H34" s="47">
        <v>823836.38399999996</v>
      </c>
      <c r="I34" s="48">
        <f>G34+H34</f>
        <v>823836.38399999996</v>
      </c>
      <c r="J34" s="47">
        <v>0</v>
      </c>
      <c r="K34" s="158">
        <v>823836.38399999996</v>
      </c>
      <c r="L34" s="48">
        <f t="shared" si="15"/>
        <v>823836.38399999996</v>
      </c>
      <c r="M34" s="47">
        <v>0</v>
      </c>
      <c r="N34" s="158">
        <v>823836.38399999996</v>
      </c>
      <c r="O34" s="48">
        <f t="shared" si="16"/>
        <v>823836.38399999996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217615.82990371587</v>
      </c>
      <c r="E37" s="47">
        <v>0</v>
      </c>
      <c r="F37" s="48">
        <f t="shared" si="13"/>
        <v>217615.82990371587</v>
      </c>
      <c r="G37" s="147">
        <f>VLOOKUP($A$1,REM_ToolEnrico!$B$5:$J$38,5,FALSE)</f>
        <v>191870.36289249256</v>
      </c>
      <c r="H37" s="47">
        <v>0</v>
      </c>
      <c r="I37" s="48">
        <f t="shared" si="17"/>
        <v>191870.36289249256</v>
      </c>
      <c r="J37" s="147">
        <f>VLOOKUP($A$1,REM_ToolEnrico!$B$5:$J$38,7,FALSE)</f>
        <v>244374.05072170976</v>
      </c>
      <c r="K37" s="47">
        <v>0</v>
      </c>
      <c r="L37" s="48">
        <f t="shared" si="15"/>
        <v>244374.05072170976</v>
      </c>
      <c r="M37" s="147">
        <f>VLOOKUP($A$1,REM_ToolEnrico!$B$5:$J$38,9,FALSE)</f>
        <v>243088.40843495043</v>
      </c>
      <c r="N37" s="47">
        <v>0</v>
      </c>
      <c r="O37" s="48">
        <f t="shared" si="16"/>
        <v>243088.40843495043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4298.9551344346955</v>
      </c>
      <c r="E38" s="47">
        <v>0</v>
      </c>
      <c r="F38" s="48">
        <f t="shared" si="13"/>
        <v>4298.9551344346955</v>
      </c>
      <c r="G38" s="47">
        <v>4307.5530447035653</v>
      </c>
      <c r="H38" s="47">
        <v>0</v>
      </c>
      <c r="I38" s="48">
        <f t="shared" si="17"/>
        <v>4307.5530447035653</v>
      </c>
      <c r="J38" s="47">
        <v>4307.5530447035653</v>
      </c>
      <c r="K38" s="47">
        <v>0</v>
      </c>
      <c r="L38" s="48">
        <f t="shared" si="15"/>
        <v>4307.5530447035653</v>
      </c>
      <c r="M38" s="47">
        <v>4307.5530447035653</v>
      </c>
      <c r="N38" s="47">
        <v>0</v>
      </c>
      <c r="O38" s="48">
        <f t="shared" si="16"/>
        <v>4307.5530447035653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69331.104178559981</v>
      </c>
      <c r="E39" s="56">
        <v>0</v>
      </c>
      <c r="F39" s="48">
        <f t="shared" si="13"/>
        <v>69331.104178559981</v>
      </c>
      <c r="G39" s="56">
        <v>68039.989228295977</v>
      </c>
      <c r="H39" s="56">
        <v>0</v>
      </c>
      <c r="I39" s="48">
        <f t="shared" si="17"/>
        <v>68039.989228295977</v>
      </c>
      <c r="J39" s="56">
        <v>66748.874278031988</v>
      </c>
      <c r="K39" s="56">
        <v>0</v>
      </c>
      <c r="L39" s="48">
        <f t="shared" si="15"/>
        <v>66748.874278031988</v>
      </c>
      <c r="M39" s="56">
        <v>65457.759327767984</v>
      </c>
      <c r="N39" s="56">
        <v>0</v>
      </c>
      <c r="O39" s="48">
        <f t="shared" si="16"/>
        <v>65457.759327767984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811441.80104354117</v>
      </c>
      <c r="E40" s="51">
        <f>E38+E37+E32+E31+E39</f>
        <v>791772.253908035</v>
      </c>
      <c r="F40" s="52">
        <f t="shared" si="13"/>
        <v>1603214.0549515761</v>
      </c>
      <c r="G40" s="51">
        <f>G38+G37+G32+G31+G39</f>
        <v>783129.25154886581</v>
      </c>
      <c r="H40" s="51">
        <f>H38+H37+H32+H31+H39</f>
        <v>823836.38399999996</v>
      </c>
      <c r="I40" s="52">
        <f t="shared" si="17"/>
        <v>1606965.6355488659</v>
      </c>
      <c r="J40" s="51">
        <f>J38+J37+J32+J31+J39</f>
        <v>923871.17114374985</v>
      </c>
      <c r="K40" s="51">
        <f>K38+K37+K32+K31+K39</f>
        <v>823836.38399999996</v>
      </c>
      <c r="L40" s="52">
        <f t="shared" si="15"/>
        <v>1747707.5551437498</v>
      </c>
      <c r="M40" s="51">
        <f>M38+M37+M32+M31+M39</f>
        <v>894915.843808554</v>
      </c>
      <c r="N40" s="51">
        <f>N38+N37+N32+N31+N39</f>
        <v>823836.38399999996</v>
      </c>
      <c r="O40" s="52">
        <f t="shared" si="16"/>
        <v>1718752.227808554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50359.622234080838</v>
      </c>
      <c r="E42" s="22">
        <v>0</v>
      </c>
      <c r="F42" s="36">
        <f t="shared" si="13"/>
        <v>50359.622234080838</v>
      </c>
      <c r="G42" s="22">
        <v>94889.834820486722</v>
      </c>
      <c r="H42" s="22">
        <v>0</v>
      </c>
      <c r="I42" s="36">
        <f t="shared" si="17"/>
        <v>94889.834820486722</v>
      </c>
      <c r="J42" s="22">
        <v>94889.834820486722</v>
      </c>
      <c r="K42" s="22">
        <v>0</v>
      </c>
      <c r="L42" s="36">
        <f t="shared" si="15"/>
        <v>94889.834820486722</v>
      </c>
      <c r="M42" s="22">
        <v>94889.834820486722</v>
      </c>
      <c r="N42" s="22">
        <v>0</v>
      </c>
      <c r="O42" s="36">
        <f t="shared" si="16"/>
        <v>94889.834820486722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-283612.89154980658</v>
      </c>
      <c r="E44" s="57">
        <v>0</v>
      </c>
      <c r="F44" s="36">
        <f t="shared" si="13"/>
        <v>-283612.89154980658</v>
      </c>
      <c r="G44" s="57">
        <v>-274103.3156188454</v>
      </c>
      <c r="H44" s="57">
        <v>0</v>
      </c>
      <c r="I44" s="36">
        <f t="shared" si="17"/>
        <v>-274103.3156188454</v>
      </c>
      <c r="J44" s="57">
        <v>-40101.063749999987</v>
      </c>
      <c r="K44" s="57">
        <v>0</v>
      </c>
      <c r="L44" s="36">
        <f t="shared" si="15"/>
        <v>-40101.063749999987</v>
      </c>
      <c r="M44" s="57">
        <v>45000</v>
      </c>
      <c r="N44" s="57">
        <v>0</v>
      </c>
      <c r="O44" s="36">
        <f>M44+N44</f>
        <v>45000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360782.30000816792</v>
      </c>
      <c r="F45" s="36">
        <f>E45</f>
        <v>360782.30000816792</v>
      </c>
      <c r="G45" s="34"/>
      <c r="H45" s="22">
        <f>G47*0.1</f>
        <v>375674.94477324001</v>
      </c>
      <c r="I45" s="36">
        <f>H45</f>
        <v>375674.94477324001</v>
      </c>
      <c r="J45" s="34"/>
      <c r="K45" s="22">
        <f>J47*0.1</f>
        <v>413149.36191961297</v>
      </c>
      <c r="L45" s="36">
        <f>K45</f>
        <v>413149.36191961297</v>
      </c>
      <c r="M45" s="34"/>
      <c r="N45" s="22">
        <f>M47*0.1</f>
        <v>418763.93556109344</v>
      </c>
      <c r="O45" s="36">
        <f>N45</f>
        <v>418763.93556109344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3607823.0000816789</v>
      </c>
      <c r="E47" s="59">
        <f>E25+E30+E40+E41+E42+E43+E44+E45</f>
        <v>1443504.322518023</v>
      </c>
      <c r="F47" s="60">
        <f>D47+E47</f>
        <v>5051327.3225997016</v>
      </c>
      <c r="G47" s="59">
        <f>G25+G30+G40+G41+G42+G43+G44+G46</f>
        <v>3756749.4477324001</v>
      </c>
      <c r="H47" s="59">
        <f>H25+H30+H40+H41+H42+H43+H44+H45+H46</f>
        <v>1521722.5495732399</v>
      </c>
      <c r="I47" s="60">
        <f>G47+H47</f>
        <v>5278471.99730564</v>
      </c>
      <c r="J47" s="59">
        <f>J25+J30+J40+J41+J42+J43+J44+J46</f>
        <v>4131493.6191961295</v>
      </c>
      <c r="K47" s="59">
        <f>K25+K30+K40+K41+K42+K43+K44+K45+K46</f>
        <v>1559196.9667196129</v>
      </c>
      <c r="L47" s="60">
        <f>J47+K47</f>
        <v>5690690.5859157424</v>
      </c>
      <c r="M47" s="59">
        <f>M25+M30+M40+M41+M42+M43+M44+M46</f>
        <v>4187639.3556109341</v>
      </c>
      <c r="N47" s="59">
        <f>N25+N30+N40+N41+N42+N43+N44+N45+N46</f>
        <v>1564811.5403610934</v>
      </c>
      <c r="O47" s="60">
        <f>M47+N47</f>
        <v>5752450.8959720274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10454855.712028785</v>
      </c>
      <c r="E49" s="65">
        <v>2252041.554870246</v>
      </c>
      <c r="F49" s="65">
        <f>D49+E49</f>
        <v>12706897.266899031</v>
      </c>
      <c r="G49" s="65">
        <f>G50</f>
        <v>10926689.084555963</v>
      </c>
      <c r="H49" s="65">
        <v>2362190.9144131085</v>
      </c>
      <c r="I49" s="65">
        <f t="shared" ref="I49" si="21">G49+H49</f>
        <v>13288879.998969071</v>
      </c>
      <c r="J49" s="65">
        <f>J50</f>
        <v>11246983.728519693</v>
      </c>
      <c r="K49" s="65">
        <v>2240846.4432555959</v>
      </c>
      <c r="L49" s="65">
        <f t="shared" ref="L49" si="22">J49+K49</f>
        <v>13487830.171775289</v>
      </c>
      <c r="M49" s="65">
        <f>M50</f>
        <v>11402578.992434498</v>
      </c>
      <c r="N49" s="65">
        <v>2240846.4432555959</v>
      </c>
      <c r="O49" s="65">
        <f t="shared" ref="O49" si="23">M49+N49</f>
        <v>13643425.435690094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10454855.712028785</v>
      </c>
      <c r="E50" s="59">
        <f t="shared" si="24"/>
        <v>2128207.5937127336</v>
      </c>
      <c r="F50" s="59">
        <f t="shared" si="24"/>
        <v>12583063.305741519</v>
      </c>
      <c r="G50" s="59">
        <f>+G23+G47</f>
        <v>10926689.084555963</v>
      </c>
      <c r="H50" s="59">
        <f t="shared" si="24"/>
        <v>2238716.5132555962</v>
      </c>
      <c r="I50" s="59">
        <f t="shared" si="24"/>
        <v>13165405.597811559</v>
      </c>
      <c r="J50" s="59">
        <f t="shared" si="24"/>
        <v>11246983.728519693</v>
      </c>
      <c r="K50" s="59">
        <f>+K23+K47</f>
        <v>2270745.9776519695</v>
      </c>
      <c r="L50" s="59">
        <f t="shared" si="24"/>
        <v>13517729.706171662</v>
      </c>
      <c r="M50" s="59">
        <f>+M23+M47</f>
        <v>11402578.992434498</v>
      </c>
      <c r="N50" s="59">
        <f t="shared" si="24"/>
        <v>2286305.5040434496</v>
      </c>
      <c r="O50" s="59">
        <f t="shared" si="24"/>
        <v>13688884.496477947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-343846.6013658978</v>
      </c>
      <c r="E51" s="68">
        <f>E44+E20</f>
        <v>0</v>
      </c>
      <c r="F51" s="146"/>
      <c r="G51" s="68">
        <f>G44+G20</f>
        <v>-274103.3156188454</v>
      </c>
      <c r="H51" s="68">
        <f>H44+H20</f>
        <v>0</v>
      </c>
      <c r="I51" s="146"/>
      <c r="J51" s="68">
        <f>J44+J20</f>
        <v>-94550.591249999983</v>
      </c>
      <c r="K51" s="68">
        <f>K44+K20</f>
        <v>0</v>
      </c>
      <c r="L51" s="146"/>
      <c r="M51" s="68">
        <f>M44+M20</f>
        <v>90000</v>
      </c>
      <c r="N51" s="68">
        <f>N44+N20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0.61929999999999996</v>
      </c>
      <c r="G53" s="72"/>
      <c r="H53" s="73"/>
      <c r="I53" s="74">
        <v>0.61929999999999996</v>
      </c>
      <c r="J53" s="72"/>
      <c r="K53" s="73"/>
      <c r="L53" s="74">
        <v>0.61929999999999996</v>
      </c>
      <c r="M53" s="72"/>
      <c r="N53" s="73"/>
      <c r="O53" s="74">
        <v>0.61929999999999996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25265.963</v>
      </c>
      <c r="G54" s="34"/>
      <c r="H54" s="76"/>
      <c r="I54" s="77">
        <v>25265.963</v>
      </c>
      <c r="J54" s="34"/>
      <c r="K54" s="76"/>
      <c r="L54" s="77">
        <v>25265.963</v>
      </c>
      <c r="M54" s="34"/>
      <c r="N54" s="76"/>
      <c r="O54" s="77">
        <v>25265.963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50.704874230196232</v>
      </c>
      <c r="G55" s="34"/>
      <c r="H55" s="76"/>
      <c r="I55" s="78">
        <v>49.053449122663388</v>
      </c>
      <c r="J55" s="34"/>
      <c r="K55" s="76"/>
      <c r="L55" s="78">
        <v>49.773268201430533</v>
      </c>
      <c r="M55" s="34"/>
      <c r="N55" s="76"/>
      <c r="O55" s="78">
        <v>52.089132464038308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37.017488987993346</v>
      </c>
      <c r="G56" s="81"/>
      <c r="H56" s="82"/>
      <c r="I56" s="78">
        <v>37.017488987993346</v>
      </c>
      <c r="J56" s="81"/>
      <c r="K56" s="82"/>
      <c r="L56" s="78">
        <v>37.017488987993346</v>
      </c>
      <c r="M56" s="81"/>
      <c r="N56" s="82"/>
      <c r="O56" s="78">
        <v>37.017488987993346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-0.4</v>
      </c>
      <c r="G59" s="87"/>
      <c r="H59" s="73"/>
      <c r="I59" s="86">
        <v>-0.4</v>
      </c>
      <c r="J59" s="72"/>
      <c r="K59" s="73"/>
      <c r="L59" s="88">
        <v>-0.4</v>
      </c>
      <c r="M59" s="72"/>
      <c r="N59" s="73"/>
      <c r="O59" s="88">
        <v>-0.4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-8.9828326068773334E-2</v>
      </c>
      <c r="G60" s="90"/>
      <c r="H60" s="76"/>
      <c r="I60" s="89">
        <v>-8.9828326068773334E-2</v>
      </c>
      <c r="J60" s="34"/>
      <c r="K60" s="91"/>
      <c r="L60" s="89">
        <v>-8.9828326068773334E-2</v>
      </c>
      <c r="M60" s="34"/>
      <c r="N60" s="76"/>
      <c r="O60" s="89">
        <v>-8.9828326068773334E-2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-0.48982832606877336</v>
      </c>
      <c r="G61" s="90"/>
      <c r="H61" s="76"/>
      <c r="I61" s="92">
        <v>-0.48982832606877336</v>
      </c>
      <c r="J61" s="34"/>
      <c r="K61" s="76"/>
      <c r="L61" s="93">
        <v>-0.48982832606877336</v>
      </c>
      <c r="M61" s="34"/>
      <c r="N61" s="76"/>
      <c r="O61" s="92">
        <v>-0.48982832606877336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0.51017167393122664</v>
      </c>
      <c r="G62" s="95"/>
      <c r="H62" s="82"/>
      <c r="I62" s="94">
        <v>0.51017167393122664</v>
      </c>
      <c r="J62" s="81"/>
      <c r="K62" s="82"/>
      <c r="L62" s="94">
        <v>0.51017167393122664</v>
      </c>
      <c r="M62" s="81"/>
      <c r="N62" s="82"/>
      <c r="O62" s="94">
        <v>0.51017167393122664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12583063.305741519</v>
      </c>
      <c r="G72" s="34"/>
      <c r="H72" s="76"/>
      <c r="I72" s="108">
        <f>I50</f>
        <v>13165405.597811559</v>
      </c>
      <c r="J72" s="34"/>
      <c r="K72" s="76"/>
      <c r="L72" s="108">
        <f>L50</f>
        <v>13517729.706171662</v>
      </c>
      <c r="M72" s="34"/>
      <c r="N72" s="76"/>
      <c r="O72" s="108">
        <f>O50</f>
        <v>13688884.496477947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8252495.7902909247</v>
      </c>
      <c r="G73" s="34"/>
      <c r="H73" s="76"/>
      <c r="I73" s="110">
        <f>F81</f>
        <v>7531735.9831418162</v>
      </c>
      <c r="J73" s="34"/>
      <c r="K73" s="76"/>
      <c r="L73" s="110">
        <f>I81</f>
        <v>7886933.6005059192</v>
      </c>
      <c r="M73" s="34"/>
      <c r="N73" s="76"/>
      <c r="O73" s="110">
        <f>L81</f>
        <v>7827039.1202559192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4141330.5152650317</v>
      </c>
      <c r="G74" s="34"/>
      <c r="H74" s="76"/>
      <c r="I74" s="110">
        <f>F82</f>
        <v>5051327.3225997016</v>
      </c>
      <c r="J74" s="34"/>
      <c r="K74" s="76"/>
      <c r="L74" s="110">
        <f>I82</f>
        <v>5278471.99730564</v>
      </c>
      <c r="M74" s="34"/>
      <c r="N74" s="76"/>
      <c r="O74" s="110">
        <f>L82</f>
        <v>5690690.5859157434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12393826.305555956</v>
      </c>
      <c r="G75" s="34"/>
      <c r="H75" s="76"/>
      <c r="I75" s="111">
        <f>SUM(I73:I74)</f>
        <v>12583063.305741519</v>
      </c>
      <c r="J75" s="34"/>
      <c r="K75" s="76"/>
      <c r="L75" s="111">
        <f>SUM(L73:L74)</f>
        <v>13165405.597811559</v>
      </c>
      <c r="M75" s="34"/>
      <c r="N75" s="76"/>
      <c r="O75" s="111">
        <f>SUM(O73:O74)</f>
        <v>13517729.706171662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1.0152686503360735</v>
      </c>
      <c r="G76" s="81"/>
      <c r="H76" s="82"/>
      <c r="I76" s="112">
        <f>I72/I75</f>
        <v>1.0462798507740418</v>
      </c>
      <c r="J76" s="81"/>
      <c r="K76" s="82"/>
      <c r="L76" s="112">
        <f>L72/L75</f>
        <v>1.0267613561726248</v>
      </c>
      <c r="M76" s="81"/>
      <c r="N76" s="82"/>
      <c r="O76" s="112">
        <f>O72/O75</f>
        <v>1.0126615041154539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12583063.305741519</v>
      </c>
      <c r="G78" s="73"/>
      <c r="H78" s="73"/>
      <c r="I78" s="115">
        <f>IF(I72&lt;=I75*I71,I72,I75*I71)</f>
        <v>13165405.597811559</v>
      </c>
      <c r="J78" s="73"/>
      <c r="K78" s="73"/>
      <c r="L78" s="115">
        <f>IF(L72&lt;=L75*L71,L72,L75*L71)</f>
        <v>13517729.706171662</v>
      </c>
      <c r="M78" s="73"/>
      <c r="N78" s="73"/>
      <c r="O78" s="115">
        <f>IF(O72&lt;=O75*O71,O72,O75*O71)</f>
        <v>13688884.496477947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6847032.7119471058</v>
      </c>
      <c r="E81" s="120">
        <f>E23</f>
        <v>684703.27119471063</v>
      </c>
      <c r="F81" s="115">
        <f>D81+E81</f>
        <v>7531735.9831418162</v>
      </c>
      <c r="G81" s="119">
        <f>G23-I79</f>
        <v>7169939.6368235629</v>
      </c>
      <c r="H81" s="120">
        <f>H23</f>
        <v>716993.96368235629</v>
      </c>
      <c r="I81" s="115">
        <f>G81+H81</f>
        <v>7886933.6005059192</v>
      </c>
      <c r="J81" s="119">
        <f>J23-L79</f>
        <v>7115490.1093235631</v>
      </c>
      <c r="K81" s="120">
        <f>K23</f>
        <v>711549.01093235635</v>
      </c>
      <c r="L81" s="115">
        <f>J81+K81</f>
        <v>7827039.1202559192</v>
      </c>
      <c r="M81" s="119">
        <f>M23-O79</f>
        <v>7214939.6368235629</v>
      </c>
      <c r="N81" s="120">
        <f>N23</f>
        <v>721493.96368235629</v>
      </c>
      <c r="O81" s="115">
        <f>M81+N81</f>
        <v>7936433.6005059192</v>
      </c>
    </row>
    <row r="82" spans="1:52" s="14" customFormat="1" ht="20" customHeight="1" thickBot="1">
      <c r="B82" s="118" t="s">
        <v>72</v>
      </c>
      <c r="D82" s="121">
        <f>D50-D81-F79</f>
        <v>3607823.0000816789</v>
      </c>
      <c r="E82" s="122">
        <f>E50-E81</f>
        <v>1443504.322518023</v>
      </c>
      <c r="F82" s="123">
        <f>D82+E82</f>
        <v>5051327.3225997016</v>
      </c>
      <c r="G82" s="121">
        <f>G49-G81-I79</f>
        <v>3756749.4477324001</v>
      </c>
      <c r="H82" s="122">
        <f>H50-H81</f>
        <v>1521722.5495732399</v>
      </c>
      <c r="I82" s="123">
        <f>G82+H82</f>
        <v>5278471.99730564</v>
      </c>
      <c r="J82" s="121">
        <f>J50-J81-L79</f>
        <v>4131493.61919613</v>
      </c>
      <c r="K82" s="122">
        <f>K50-K81</f>
        <v>1559196.9667196132</v>
      </c>
      <c r="L82" s="123">
        <f>J82+K82</f>
        <v>5690690.5859157434</v>
      </c>
      <c r="M82" s="121">
        <f>M49-M81-O79</f>
        <v>4187639.355610935</v>
      </c>
      <c r="N82" s="122">
        <f>N50-N81</f>
        <v>1564811.5403610934</v>
      </c>
      <c r="O82" s="123">
        <f>M82+N82</f>
        <v>5752450.8959720284</v>
      </c>
    </row>
    <row r="83" spans="1:52" s="124" customFormat="1" ht="17.25" customHeight="1" thickBot="1">
      <c r="B83" s="125" t="s">
        <v>73</v>
      </c>
      <c r="C83" s="14"/>
      <c r="D83" s="126">
        <f>SUM(D81:D82)</f>
        <v>10454855.712028785</v>
      </c>
      <c r="E83" s="127">
        <f t="shared" ref="E83:O83" si="25">SUM(E81:E82)</f>
        <v>2128207.5937127336</v>
      </c>
      <c r="F83" s="128">
        <f t="shared" si="25"/>
        <v>12583063.305741519</v>
      </c>
      <c r="G83" s="126">
        <f t="shared" si="25"/>
        <v>10926689.084555963</v>
      </c>
      <c r="H83" s="127">
        <f t="shared" si="25"/>
        <v>2238716.5132555962</v>
      </c>
      <c r="I83" s="128">
        <f t="shared" si="25"/>
        <v>13165405.597811559</v>
      </c>
      <c r="J83" s="126">
        <f t="shared" si="25"/>
        <v>11246983.728519693</v>
      </c>
      <c r="K83" s="127">
        <f t="shared" si="25"/>
        <v>2270745.9776519695</v>
      </c>
      <c r="L83" s="128">
        <f t="shared" si="25"/>
        <v>13517729.706171662</v>
      </c>
      <c r="M83" s="126">
        <f t="shared" si="25"/>
        <v>11402578.992434498</v>
      </c>
      <c r="N83" s="127">
        <f t="shared" si="25"/>
        <v>2286305.5040434496</v>
      </c>
      <c r="O83" s="128">
        <f t="shared" si="25"/>
        <v>13688884.496477947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7531735.9831418162</v>
      </c>
      <c r="G88" s="72"/>
      <c r="H88" s="73"/>
      <c r="I88" s="136">
        <f>I81-I85</f>
        <v>7886933.6005059192</v>
      </c>
      <c r="J88" s="72"/>
      <c r="K88" s="73"/>
      <c r="L88" s="136">
        <f>L81-L85</f>
        <v>7827039.1202559192</v>
      </c>
      <c r="M88" s="72"/>
      <c r="N88" s="73"/>
      <c r="O88" s="136">
        <f>O81-O85</f>
        <v>7936433.6005059192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5051327.3225997016</v>
      </c>
      <c r="G89" s="34"/>
      <c r="H89" s="76"/>
      <c r="I89" s="138">
        <f>I82-I86</f>
        <v>5278471.99730564</v>
      </c>
      <c r="J89" s="34"/>
      <c r="K89" s="76"/>
      <c r="L89" s="138">
        <f>L82-L86</f>
        <v>5690690.5859157434</v>
      </c>
      <c r="M89" s="34"/>
      <c r="N89" s="76"/>
      <c r="O89" s="138">
        <f>O82-O86</f>
        <v>5752450.8959720284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12583063.305741519</v>
      </c>
      <c r="G90" s="81"/>
      <c r="H90" s="82"/>
      <c r="I90" s="139">
        <f>+I88+I89</f>
        <v>13165405.597811559</v>
      </c>
      <c r="J90" s="81"/>
      <c r="K90" s="82"/>
      <c r="L90" s="139">
        <f>+L88+L89</f>
        <v>13517729.706171662</v>
      </c>
      <c r="M90" s="81"/>
      <c r="N90" s="82"/>
      <c r="O90" s="139">
        <f>+O88+O89</f>
        <v>13688884.496477947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-3230.6306288386695</v>
      </c>
      <c r="E92" s="143">
        <v>0</v>
      </c>
      <c r="F92" s="144">
        <f>D92+E92</f>
        <v>-3230.6306288386695</v>
      </c>
      <c r="G92" s="142">
        <v>-153150.85224193835</v>
      </c>
      <c r="H92" s="143">
        <v>0</v>
      </c>
      <c r="I92" s="144">
        <f>G92+H92</f>
        <v>-153150.85224193835</v>
      </c>
      <c r="J92" s="142">
        <v>-153150.85224193835</v>
      </c>
      <c r="K92" s="143">
        <v>0</v>
      </c>
      <c r="L92" s="144">
        <f>J92+K92</f>
        <v>-153150.85224193835</v>
      </c>
      <c r="M92" s="142">
        <v>-153150.85224193835</v>
      </c>
      <c r="N92" s="143">
        <v>0</v>
      </c>
      <c r="O92" s="144">
        <f>M92+N92</f>
        <v>-153150.85224193835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11041110.815242354</v>
      </c>
      <c r="E96" s="166">
        <f>E6+E7+E8+E9+E11+E25+E30+E40+E42+E21+E45</f>
        <v>2128207.5937127336</v>
      </c>
      <c r="F96" s="166">
        <f t="shared" ref="F96" si="26">F6+F7+F8+F9+F11+F25+F30+F40+F42</f>
        <v>12123832.83775221</v>
      </c>
      <c r="G96" s="166">
        <f t="shared" ref="G96" si="27">G6+G7+G8+G9+G11+G25+G30+G40+G42+G21+G45</f>
        <v>11442958.735686967</v>
      </c>
      <c r="H96" s="166">
        <f t="shared" ref="H96" si="28">H6+H7+H8+H9+H11+H25+H30+H40+H42</f>
        <v>1146047.6047999999</v>
      </c>
      <c r="I96" s="166">
        <f t="shared" ref="I96" si="29">I6+I7+I8+I9+I11+I25+I30+I40+I42+I21+I45</f>
        <v>13681675.248942563</v>
      </c>
      <c r="J96" s="166">
        <f t="shared" ref="J96" si="30">J6+J7+J8+J9+J11+J25+J30+J40+J42</f>
        <v>11583700.655281851</v>
      </c>
      <c r="K96" s="166">
        <f t="shared" ref="K96" si="31">K6+K7+K8+K9+K11+K25+K30+K40+K42+K21+K45</f>
        <v>2270745.9776519691</v>
      </c>
      <c r="L96" s="166">
        <f t="shared" ref="L96" si="32">L6+L7+L8+L9+L11+L25+L30+L40+L42</f>
        <v>12729748.260081852</v>
      </c>
      <c r="M96" s="166">
        <f t="shared" ref="M96" si="33">M6+M7+M8+M9+M11+M25+M30+M40+M42+M21+M45</f>
        <v>11554745.327946655</v>
      </c>
      <c r="N96" s="166">
        <f t="shared" ref="N96" si="34">N6+N7+N8+N9+N11+N25+N30+N40+N42</f>
        <v>1146047.6047999999</v>
      </c>
      <c r="O96" s="166">
        <f t="shared" ref="O96" si="35">O6+O7+O8+O9+O11+O25+O30+O40+O42+O21+O45</f>
        <v>13841050.831990106</v>
      </c>
    </row>
    <row r="97" spans="4:15" s="14" customFormat="1">
      <c r="D97" s="166">
        <f>D96-D15-D19</f>
        <v>10798702.313394681</v>
      </c>
      <c r="E97" s="166">
        <f>E96-E15-E19</f>
        <v>2128207.5937127336</v>
      </c>
      <c r="F97" s="166">
        <f t="shared" ref="F97:O97" si="36">F96-F15-F19</f>
        <v>11881424.335904537</v>
      </c>
      <c r="G97" s="166">
        <f t="shared" si="36"/>
        <v>11200792.400174806</v>
      </c>
      <c r="H97" s="166">
        <f t="shared" si="36"/>
        <v>1146047.6047999999</v>
      </c>
      <c r="I97" s="166">
        <f t="shared" si="36"/>
        <v>13439508.913430402</v>
      </c>
      <c r="J97" s="166">
        <f t="shared" si="36"/>
        <v>11341534.31976969</v>
      </c>
      <c r="K97" s="166">
        <f t="shared" si="36"/>
        <v>2270745.9776519691</v>
      </c>
      <c r="L97" s="166">
        <f t="shared" si="36"/>
        <v>12487581.924569691</v>
      </c>
      <c r="M97" s="166">
        <f t="shared" si="36"/>
        <v>11312578.992434494</v>
      </c>
      <c r="N97" s="166">
        <f t="shared" si="36"/>
        <v>1146047.6047999999</v>
      </c>
      <c r="O97" s="166">
        <f t="shared" si="36"/>
        <v>13598884.496477945</v>
      </c>
    </row>
    <row r="98" spans="4:15" s="14" customFormat="1">
      <c r="D98" s="166">
        <f>D20+D44</f>
        <v>-343846.6013658978</v>
      </c>
      <c r="E98" s="166">
        <f>E20+E44</f>
        <v>0</v>
      </c>
      <c r="F98" s="166">
        <f t="shared" ref="F98:O98" si="37">F20+F44</f>
        <v>-343846.6013658978</v>
      </c>
      <c r="G98" s="166">
        <f t="shared" si="37"/>
        <v>-274103.3156188454</v>
      </c>
      <c r="H98" s="166">
        <f t="shared" si="37"/>
        <v>0</v>
      </c>
      <c r="I98" s="166">
        <f t="shared" si="37"/>
        <v>-274103.3156188454</v>
      </c>
      <c r="J98" s="166">
        <f t="shared" si="37"/>
        <v>-94550.591249999983</v>
      </c>
      <c r="K98" s="166">
        <f t="shared" si="37"/>
        <v>0</v>
      </c>
      <c r="L98" s="166">
        <f t="shared" si="37"/>
        <v>-94550.591249999983</v>
      </c>
      <c r="M98" s="166">
        <f t="shared" si="37"/>
        <v>90000</v>
      </c>
      <c r="N98" s="166">
        <f t="shared" si="37"/>
        <v>0</v>
      </c>
      <c r="O98" s="166">
        <f t="shared" si="37"/>
        <v>90000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59" priority="7" operator="containsText" text="ERRORE">
      <formula>NOT(ISERROR(SEARCH("ERRORE",F81)))</formula>
    </cfRule>
  </conditionalFormatting>
  <conditionalFormatting sqref="I83">
    <cfRule type="containsText" dxfId="158" priority="6" operator="containsText" text="ERRORE">
      <formula>NOT(ISERROR(SEARCH("ERRORE",I83)))</formula>
    </cfRule>
  </conditionalFormatting>
  <conditionalFormatting sqref="I81:I82">
    <cfRule type="containsText" dxfId="157" priority="5" operator="containsText" text="ERRORE">
      <formula>NOT(ISERROR(SEARCH("ERRORE",I81)))</formula>
    </cfRule>
  </conditionalFormatting>
  <conditionalFormatting sqref="L83">
    <cfRule type="containsText" dxfId="156" priority="4" operator="containsText" text="ERRORE">
      <formula>NOT(ISERROR(SEARCH("ERRORE",L83)))</formula>
    </cfRule>
  </conditionalFormatting>
  <conditionalFormatting sqref="L81:L82">
    <cfRule type="containsText" dxfId="155" priority="3" operator="containsText" text="ERRORE">
      <formula>NOT(ISERROR(SEARCH("ERRORE",L81)))</formula>
    </cfRule>
  </conditionalFormatting>
  <conditionalFormatting sqref="O83">
    <cfRule type="containsText" dxfId="154" priority="2" operator="containsText" text="ERRORE">
      <formula>NOT(ISERROR(SEARCH("ERRORE",O83)))</formula>
    </cfRule>
  </conditionalFormatting>
  <conditionalFormatting sqref="O81:O82">
    <cfRule type="containsText" dxfId="153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D34" zoomScale="70" zoomScaleNormal="70" zoomScalePageLayoutView="70" workbookViewId="0">
      <selection activeCell="G83" sqref="G83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96</v>
      </c>
      <c r="B1" s="2" t="str">
        <f>"       PEF 2022 - 2025"&amp;" - "&amp;A1</f>
        <v xml:space="preserve">       PEF 2022 - 2025 - Marcon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137</v>
      </c>
      <c r="E4" s="188"/>
      <c r="F4" s="189"/>
      <c r="G4" s="187" t="str">
        <f>D4</f>
        <v>Ambito tariffario: Marcon</v>
      </c>
      <c r="H4" s="188"/>
      <c r="I4" s="189"/>
      <c r="J4" s="187" t="str">
        <f>D4</f>
        <v>Ambito tariffario: Marcon</v>
      </c>
      <c r="K4" s="188"/>
      <c r="L4" s="189"/>
      <c r="M4" s="187" t="str">
        <f>D4</f>
        <v>Ambito tariffario: Marcon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301570.63704800222</v>
      </c>
      <c r="E6" s="22">
        <v>0</v>
      </c>
      <c r="F6" s="23">
        <f>D6+E6</f>
        <v>301570.63704800222</v>
      </c>
      <c r="G6" s="22">
        <v>311960.89166376105</v>
      </c>
      <c r="H6" s="22">
        <v>0</v>
      </c>
      <c r="I6" s="23">
        <f>G6+H6</f>
        <v>311960.89166376105</v>
      </c>
      <c r="J6" s="22">
        <v>311960.89166376105</v>
      </c>
      <c r="K6" s="22">
        <v>0</v>
      </c>
      <c r="L6" s="23">
        <f>J6+K6</f>
        <v>311960.89166376105</v>
      </c>
      <c r="M6" s="22">
        <v>311960.89166376105</v>
      </c>
      <c r="N6" s="22">
        <v>0</v>
      </c>
      <c r="O6" s="23">
        <f>M6+N6</f>
        <v>311960.89166376105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274800.40705130645</v>
      </c>
      <c r="E7" s="22">
        <v>0</v>
      </c>
      <c r="F7" s="23">
        <f t="shared" ref="F7:F20" si="0">D7+E7</f>
        <v>274800.40705130645</v>
      </c>
      <c r="G7" s="22">
        <v>287655.98020015977</v>
      </c>
      <c r="H7" s="22">
        <v>0</v>
      </c>
      <c r="I7" s="23">
        <f t="shared" ref="I7:I13" si="1">G7+H7</f>
        <v>287655.98020015977</v>
      </c>
      <c r="J7" s="22">
        <v>287655.98020015977</v>
      </c>
      <c r="K7" s="22">
        <v>0</v>
      </c>
      <c r="L7" s="23">
        <f t="shared" ref="L7:L12" si="2">J7+K7</f>
        <v>287655.98020015977</v>
      </c>
      <c r="M7" s="22">
        <v>287655.98020015977</v>
      </c>
      <c r="N7" s="22">
        <v>0</v>
      </c>
      <c r="O7" s="23">
        <f t="shared" ref="O7:O13" si="3">M7+N7</f>
        <v>287655.98020015977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345496.61501612893</v>
      </c>
      <c r="E8" s="22">
        <v>0</v>
      </c>
      <c r="F8" s="23">
        <f t="shared" si="0"/>
        <v>345496.61501612893</v>
      </c>
      <c r="G8" s="22">
        <v>361667.93540005531</v>
      </c>
      <c r="H8" s="22">
        <v>0</v>
      </c>
      <c r="I8" s="23">
        <f t="shared" si="1"/>
        <v>361667.93540005531</v>
      </c>
      <c r="J8" s="22">
        <v>361667.93540005531</v>
      </c>
      <c r="K8" s="22">
        <v>0</v>
      </c>
      <c r="L8" s="23">
        <f t="shared" si="2"/>
        <v>361667.93540005531</v>
      </c>
      <c r="M8" s="22">
        <v>361667.93540005531</v>
      </c>
      <c r="N8" s="22">
        <v>0</v>
      </c>
      <c r="O8" s="23">
        <f t="shared" si="3"/>
        <v>361667.93540005531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683811.89741093433</v>
      </c>
      <c r="E9" s="22">
        <v>0</v>
      </c>
      <c r="F9" s="23">
        <f t="shared" si="0"/>
        <v>683811.89741093433</v>
      </c>
      <c r="G9" s="22">
        <v>703125.34339610965</v>
      </c>
      <c r="H9" s="22">
        <v>0</v>
      </c>
      <c r="I9" s="23">
        <f t="shared" si="1"/>
        <v>703125.34339610965</v>
      </c>
      <c r="J9" s="22">
        <v>703125.34339610965</v>
      </c>
      <c r="K9" s="22">
        <v>0</v>
      </c>
      <c r="L9" s="23">
        <f t="shared" si="2"/>
        <v>703125.34339610965</v>
      </c>
      <c r="M9" s="22">
        <v>703125.34339610965</v>
      </c>
      <c r="N9" s="22">
        <v>0</v>
      </c>
      <c r="O9" s="23">
        <f t="shared" si="3"/>
        <v>703125.34339610965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7498.852058228571</v>
      </c>
      <c r="E11" s="22">
        <v>0</v>
      </c>
      <c r="F11" s="23">
        <f t="shared" si="0"/>
        <v>7498.852058228571</v>
      </c>
      <c r="G11" s="22">
        <v>7498.852058228571</v>
      </c>
      <c r="H11" s="22">
        <v>0</v>
      </c>
      <c r="I11" s="23">
        <f t="shared" si="1"/>
        <v>7498.852058228571</v>
      </c>
      <c r="J11" s="22">
        <v>7498.852058228571</v>
      </c>
      <c r="K11" s="22">
        <v>0</v>
      </c>
      <c r="L11" s="23">
        <f t="shared" si="2"/>
        <v>7498.852058228571</v>
      </c>
      <c r="M11" s="22">
        <v>7498.852058228571</v>
      </c>
      <c r="N11" s="22">
        <v>0</v>
      </c>
      <c r="O11" s="23">
        <f t="shared" si="3"/>
        <v>7498.852058228571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179200.86292947756</v>
      </c>
      <c r="E13" s="22">
        <v>0</v>
      </c>
      <c r="F13" s="23">
        <f t="shared" si="0"/>
        <v>179200.86292947756</v>
      </c>
      <c r="G13" s="22">
        <v>179021.84108838919</v>
      </c>
      <c r="H13" s="22">
        <v>0</v>
      </c>
      <c r="I13" s="23">
        <f t="shared" si="1"/>
        <v>179021.84108838919</v>
      </c>
      <c r="J13" s="22">
        <v>179021.84108838919</v>
      </c>
      <c r="K13" s="22">
        <v>0</v>
      </c>
      <c r="L13" s="23">
        <f>J13+K13</f>
        <v>179021.84108838919</v>
      </c>
      <c r="M13" s="22">
        <v>179021.84108838919</v>
      </c>
      <c r="N13" s="22">
        <v>0</v>
      </c>
      <c r="O13" s="23">
        <f t="shared" si="3"/>
        <v>179021.84108838919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107520.51775768654</v>
      </c>
      <c r="E15" s="22">
        <v>0</v>
      </c>
      <c r="F15" s="23">
        <f t="shared" si="0"/>
        <v>107520.51775768654</v>
      </c>
      <c r="G15" s="22">
        <v>107413.10465303352</v>
      </c>
      <c r="H15" s="22">
        <v>0</v>
      </c>
      <c r="I15" s="23">
        <f t="shared" ref="I15:I16" si="4">G15+H15</f>
        <v>107413.10465303352</v>
      </c>
      <c r="J15" s="22">
        <v>107413.10465303352</v>
      </c>
      <c r="K15" s="22">
        <v>0</v>
      </c>
      <c r="L15" s="23">
        <f t="shared" ref="L15:L16" si="5">J15+K15</f>
        <v>107413.10465303352</v>
      </c>
      <c r="M15" s="22">
        <v>107413.10465303352</v>
      </c>
      <c r="N15" s="22">
        <v>0</v>
      </c>
      <c r="O15" s="23">
        <f t="shared" ref="O15:O16" si="6">M15+N15</f>
        <v>107413.10465303352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6059.4157331796387</v>
      </c>
      <c r="E16" s="22">
        <v>0</v>
      </c>
      <c r="F16" s="23">
        <f t="shared" si="0"/>
        <v>6059.4157331796387</v>
      </c>
      <c r="G16" s="22">
        <v>6053.3623708088307</v>
      </c>
      <c r="H16" s="22">
        <v>0</v>
      </c>
      <c r="I16" s="23">
        <f t="shared" si="4"/>
        <v>6053.3623708088307</v>
      </c>
      <c r="J16" s="22">
        <v>6053.3623708088307</v>
      </c>
      <c r="K16" s="22">
        <v>0</v>
      </c>
      <c r="L16" s="23">
        <f t="shared" si="5"/>
        <v>6053.3623708088307</v>
      </c>
      <c r="M16" s="22">
        <v>6053.3623708088307</v>
      </c>
      <c r="N16" s="22">
        <v>0</v>
      </c>
      <c r="O16" s="23">
        <f t="shared" si="6"/>
        <v>6053.3623708088307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3999.2143838985617</v>
      </c>
      <c r="E19" s="22">
        <v>0</v>
      </c>
      <c r="F19" s="23">
        <f t="shared" si="0"/>
        <v>3999.2143838985617</v>
      </c>
      <c r="G19" s="22">
        <v>3995.2191647338286</v>
      </c>
      <c r="H19" s="22">
        <v>0</v>
      </c>
      <c r="I19" s="23">
        <f t="shared" ref="I19:I20" si="7">G19+H19</f>
        <v>3995.2191647338286</v>
      </c>
      <c r="J19" s="22">
        <v>3995.2191647338286</v>
      </c>
      <c r="K19" s="22">
        <v>0</v>
      </c>
      <c r="L19" s="23">
        <f t="shared" ref="L19:L20" si="8">J19+K19</f>
        <v>3995.2191647338286</v>
      </c>
      <c r="M19" s="32">
        <v>3995.2191647338286</v>
      </c>
      <c r="N19" s="33">
        <v>0</v>
      </c>
      <c r="O19" s="23">
        <f t="shared" ref="O19:O20" si="9">M19+N19</f>
        <v>3995.2191647338286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22">
        <v>0</v>
      </c>
      <c r="F20" s="23">
        <f t="shared" si="0"/>
        <v>0</v>
      </c>
      <c r="G20" s="22">
        <v>0</v>
      </c>
      <c r="H20" s="22">
        <v>0</v>
      </c>
      <c r="I20" s="23">
        <f t="shared" si="7"/>
        <v>0</v>
      </c>
      <c r="J20" s="22">
        <v>0</v>
      </c>
      <c r="K20" s="22">
        <v>0</v>
      </c>
      <c r="L20" s="23">
        <f t="shared" si="8"/>
        <v>0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/>
      <c r="F21" s="23">
        <f>E21</f>
        <v>0</v>
      </c>
      <c r="G21" s="34"/>
      <c r="H21" s="22"/>
      <c r="I21" s="23">
        <f>H21</f>
        <v>0</v>
      </c>
      <c r="J21" s="34"/>
      <c r="K21" s="22"/>
      <c r="L21" s="23">
        <f>K21</f>
        <v>0</v>
      </c>
      <c r="M21" s="34"/>
      <c r="N21" s="22"/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1501658.6764430155</v>
      </c>
      <c r="E23" s="38">
        <f>E6+E7+E8+E9+E10+E11+E12-E15-E19+E20+E21</f>
        <v>0</v>
      </c>
      <c r="F23" s="38">
        <f>D23+E23</f>
        <v>1501658.6764430155</v>
      </c>
      <c r="G23" s="38">
        <f>G6+G7+G8+G9+G10+G11+G12-G15-G19+G20+G22</f>
        <v>1560500.6789005473</v>
      </c>
      <c r="H23" s="38">
        <f>H6+H7+H8+H9+H10+H11+H12-H15-H19+H20+H21+H22</f>
        <v>0</v>
      </c>
      <c r="I23" s="38">
        <f>G23+H23</f>
        <v>1560500.6789005473</v>
      </c>
      <c r="J23" s="38">
        <f>J6+J7+J8+J9+J10+J11+J12-J15-J19+J20+J22</f>
        <v>1560500.6789005473</v>
      </c>
      <c r="K23" s="38">
        <f>K6+K7+K8+K9+K10+K11+K12-K15-K19+K20+K21+K22</f>
        <v>0</v>
      </c>
      <c r="L23" s="38">
        <f>J23+K23</f>
        <v>1560500.6789005473</v>
      </c>
      <c r="M23" s="38">
        <f>M6+M7+M8+M9+M10+M11+M12-M15-M19+M20+M22</f>
        <v>1560500.6789005473</v>
      </c>
      <c r="N23" s="38">
        <f>N6+N7+N8+N9+N10+N11+N12-N15-N19+N20+N21+N22</f>
        <v>0</v>
      </c>
      <c r="O23" s="38">
        <f>M23+N23</f>
        <v>1560500.6789005473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357674.47871763504</v>
      </c>
      <c r="E25" s="44">
        <v>0</v>
      </c>
      <c r="F25" s="45">
        <f t="shared" ref="F25:F44" si="13">D25+E25</f>
        <v>357674.47871763504</v>
      </c>
      <c r="G25" s="44">
        <v>373861.7535006149</v>
      </c>
      <c r="H25" s="44">
        <v>0</v>
      </c>
      <c r="I25" s="45">
        <f t="shared" ref="I25:I33" si="14">G25+H25</f>
        <v>373861.7535006149</v>
      </c>
      <c r="J25" s="44">
        <v>373861.7535006149</v>
      </c>
      <c r="K25" s="44">
        <v>0</v>
      </c>
      <c r="L25" s="45">
        <f t="shared" ref="L25:L44" si="15">J25+K25</f>
        <v>373861.7535006149</v>
      </c>
      <c r="M25" s="44">
        <v>373861.7535006149</v>
      </c>
      <c r="N25" s="44">
        <v>0</v>
      </c>
      <c r="O25" s="45">
        <f t="shared" ref="O25:O43" si="16">M25+N25</f>
        <v>373861.7535006149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96739.925991456927</v>
      </c>
      <c r="E26" s="22">
        <v>0</v>
      </c>
      <c r="F26" s="36">
        <f t="shared" si="13"/>
        <v>96739.925991456927</v>
      </c>
      <c r="G26" s="22">
        <v>99573.845471199136</v>
      </c>
      <c r="H26" s="22">
        <v>0</v>
      </c>
      <c r="I26" s="36">
        <f t="shared" si="14"/>
        <v>99573.845471199136</v>
      </c>
      <c r="J26" s="22">
        <v>99573.845471199136</v>
      </c>
      <c r="K26" s="22">
        <v>0</v>
      </c>
      <c r="L26" s="36">
        <f t="shared" si="15"/>
        <v>99573.845471199136</v>
      </c>
      <c r="M26" s="22">
        <v>99573.845471199136</v>
      </c>
      <c r="N26" s="22">
        <v>0</v>
      </c>
      <c r="O26" s="36">
        <f t="shared" si="16"/>
        <v>99573.845471199136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221320.13415821345</v>
      </c>
      <c r="E27" s="47">
        <v>0</v>
      </c>
      <c r="F27" s="48">
        <f t="shared" si="13"/>
        <v>221320.13415821345</v>
      </c>
      <c r="G27" s="47">
        <v>229842.3727079294</v>
      </c>
      <c r="H27" s="47">
        <v>0</v>
      </c>
      <c r="I27" s="48">
        <f t="shared" si="14"/>
        <v>229842.3727079294</v>
      </c>
      <c r="J27" s="47">
        <v>229842.3727079294</v>
      </c>
      <c r="K27" s="47">
        <v>0</v>
      </c>
      <c r="L27" s="48">
        <f t="shared" si="15"/>
        <v>229842.3727079294</v>
      </c>
      <c r="M27" s="47">
        <v>229842.3727079294</v>
      </c>
      <c r="N27" s="47">
        <v>0</v>
      </c>
      <c r="O27" s="48">
        <f t="shared" si="16"/>
        <v>229842.3727079294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23110.769606461989</v>
      </c>
      <c r="E29" s="47">
        <v>0</v>
      </c>
      <c r="F29" s="48">
        <f t="shared" si="13"/>
        <v>23110.769606461989</v>
      </c>
      <c r="G29" s="47">
        <v>23276.801034291486</v>
      </c>
      <c r="H29" s="47">
        <v>0</v>
      </c>
      <c r="I29" s="48">
        <f t="shared" si="14"/>
        <v>23276.801034291486</v>
      </c>
      <c r="J29" s="47">
        <v>23276.801034291486</v>
      </c>
      <c r="K29" s="47">
        <v>0</v>
      </c>
      <c r="L29" s="48">
        <f t="shared" si="15"/>
        <v>23276.801034291486</v>
      </c>
      <c r="M29" s="47">
        <v>23276.801034291486</v>
      </c>
      <c r="N29" s="47">
        <v>0</v>
      </c>
      <c r="O29" s="48">
        <f t="shared" si="16"/>
        <v>23276.801034291486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341170.82975613233</v>
      </c>
      <c r="E30" s="51">
        <f>+E26+E27+E28+E29</f>
        <v>0</v>
      </c>
      <c r="F30" s="52">
        <f t="shared" si="13"/>
        <v>341170.82975613233</v>
      </c>
      <c r="G30" s="51">
        <f>+G26+G27+G28+G29</f>
        <v>352693.01921342005</v>
      </c>
      <c r="H30" s="51">
        <f>+H26+H27+H28+H29</f>
        <v>0</v>
      </c>
      <c r="I30" s="52">
        <f t="shared" si="14"/>
        <v>352693.01921342005</v>
      </c>
      <c r="J30" s="51">
        <f>+J26+J27+J28+J29</f>
        <v>352693.01921342005</v>
      </c>
      <c r="K30" s="51">
        <f>+K26+K27+K28+K29</f>
        <v>0</v>
      </c>
      <c r="L30" s="52">
        <f t="shared" si="15"/>
        <v>352693.01921342005</v>
      </c>
      <c r="M30" s="51">
        <f>+M26+M27+M28+M29</f>
        <v>352693.01921342005</v>
      </c>
      <c r="N30" s="51">
        <f>+N26+N27+N28+N29</f>
        <v>0</v>
      </c>
      <c r="O30" s="52">
        <f t="shared" si="16"/>
        <v>352693.01921342005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97548.783520773446</v>
      </c>
      <c r="E31" s="53">
        <v>0</v>
      </c>
      <c r="F31" s="48">
        <f t="shared" si="13"/>
        <v>97548.783520773446</v>
      </c>
      <c r="G31" s="147">
        <f>VLOOKUP($A$1,REM_ToolEnrico!$B$5:$J$38,4,FALSE)</f>
        <v>83377.154169056754</v>
      </c>
      <c r="H31" s="53">
        <v>0</v>
      </c>
      <c r="I31" s="48">
        <f t="shared" si="14"/>
        <v>83377.154169056754</v>
      </c>
      <c r="J31" s="147">
        <f>VLOOKUP($A$1,REM_ToolEnrico!$B$5:$J$38,6,FALSE)</f>
        <v>58731.368464118212</v>
      </c>
      <c r="K31" s="53">
        <v>0</v>
      </c>
      <c r="L31" s="48">
        <f t="shared" si="15"/>
        <v>58731.368464118212</v>
      </c>
      <c r="M31" s="147">
        <f>VLOOKUP($A$1,REM_ToolEnrico!$B$5:$J$38,8,FALSE)</f>
        <v>64359.042108201393</v>
      </c>
      <c r="N31" s="53">
        <v>0</v>
      </c>
      <c r="O31" s="48">
        <f t="shared" si="16"/>
        <v>64359.042108201393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233562.78061596717</v>
      </c>
      <c r="E32" s="54">
        <f>+E33+E34+E35+E36</f>
        <v>0</v>
      </c>
      <c r="F32" s="48">
        <f t="shared" si="13"/>
        <v>233562.78061596717</v>
      </c>
      <c r="G32" s="54">
        <f>+G33+G34+G35+G36</f>
        <v>233329.45116480239</v>
      </c>
      <c r="H32" s="54">
        <f>+H33+H34+H35+H36</f>
        <v>0</v>
      </c>
      <c r="I32" s="48">
        <f t="shared" si="14"/>
        <v>233329.45116480239</v>
      </c>
      <c r="J32" s="54">
        <f>+J33+J34+J35+J36</f>
        <v>233329.45116480239</v>
      </c>
      <c r="K32" s="54">
        <f>+K33+K34+K35+K36</f>
        <v>0</v>
      </c>
      <c r="L32" s="48">
        <f t="shared" si="15"/>
        <v>233329.45116480239</v>
      </c>
      <c r="M32" s="54">
        <f>+M33+M34+M35+M36</f>
        <v>233329.45116480239</v>
      </c>
      <c r="N32" s="54">
        <f>+N33+N34+N35+N36</f>
        <v>0</v>
      </c>
      <c r="O32" s="48">
        <f t="shared" si="16"/>
        <v>233329.45116480239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233562.78061596717</v>
      </c>
      <c r="E34" s="47">
        <v>0</v>
      </c>
      <c r="F34" s="48">
        <f>D34+E34</f>
        <v>233562.78061596717</v>
      </c>
      <c r="G34" s="47">
        <v>233329.45116480239</v>
      </c>
      <c r="H34" s="47">
        <v>0</v>
      </c>
      <c r="I34" s="48">
        <f>G34+H34</f>
        <v>233329.45116480239</v>
      </c>
      <c r="J34" s="47">
        <v>233329.45116480239</v>
      </c>
      <c r="K34" s="158">
        <v>0</v>
      </c>
      <c r="L34" s="48">
        <f t="shared" si="15"/>
        <v>233329.45116480239</v>
      </c>
      <c r="M34" s="47">
        <v>233329.45116480239</v>
      </c>
      <c r="N34" s="158">
        <v>0</v>
      </c>
      <c r="O34" s="48">
        <f t="shared" si="16"/>
        <v>233329.45116480239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37911.284414436988</v>
      </c>
      <c r="E37" s="47">
        <v>0</v>
      </c>
      <c r="F37" s="48">
        <f t="shared" si="13"/>
        <v>37911.284414436988</v>
      </c>
      <c r="G37" s="147">
        <f>VLOOKUP($A$1,REM_ToolEnrico!$B$5:$J$38,5,FALSE)</f>
        <v>33226.854465962897</v>
      </c>
      <c r="H37" s="47">
        <v>0</v>
      </c>
      <c r="I37" s="48">
        <f t="shared" si="17"/>
        <v>33226.854465962897</v>
      </c>
      <c r="J37" s="147">
        <f>VLOOKUP($A$1,REM_ToolEnrico!$B$5:$J$38,7,FALSE)</f>
        <v>34529.583445737946</v>
      </c>
      <c r="K37" s="47">
        <v>0</v>
      </c>
      <c r="L37" s="48">
        <f t="shared" si="15"/>
        <v>34529.583445737946</v>
      </c>
      <c r="M37" s="147">
        <f>VLOOKUP($A$1,REM_ToolEnrico!$B$5:$J$38,9,FALSE)</f>
        <v>36445.261788845783</v>
      </c>
      <c r="N37" s="47">
        <v>0</v>
      </c>
      <c r="O37" s="48">
        <f t="shared" si="16"/>
        <v>36445.261788845783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356.35010448892263</v>
      </c>
      <c r="E38" s="47">
        <v>0</v>
      </c>
      <c r="F38" s="48">
        <f t="shared" si="13"/>
        <v>356.35010448892263</v>
      </c>
      <c r="G38" s="47">
        <v>357.06280469790045</v>
      </c>
      <c r="H38" s="47">
        <v>0</v>
      </c>
      <c r="I38" s="48">
        <f t="shared" si="17"/>
        <v>357.06280469790045</v>
      </c>
      <c r="J38" s="47">
        <v>357.06280469790045</v>
      </c>
      <c r="K38" s="47">
        <v>0</v>
      </c>
      <c r="L38" s="48">
        <f t="shared" si="15"/>
        <v>357.06280469790045</v>
      </c>
      <c r="M38" s="47">
        <v>357.06280469790045</v>
      </c>
      <c r="N38" s="47">
        <v>0</v>
      </c>
      <c r="O38" s="48">
        <f t="shared" si="16"/>
        <v>357.06280469790045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369379.19865566655</v>
      </c>
      <c r="E40" s="51">
        <f>E38+E37+E32+E31+E39</f>
        <v>0</v>
      </c>
      <c r="F40" s="52">
        <f t="shared" si="13"/>
        <v>369379.19865566655</v>
      </c>
      <c r="G40" s="51">
        <f>G38+G37+G32+G31+G39</f>
        <v>350290.52260451991</v>
      </c>
      <c r="H40" s="51">
        <f>H38+H37+H32+H31+H39</f>
        <v>0</v>
      </c>
      <c r="I40" s="52">
        <f t="shared" si="17"/>
        <v>350290.52260451991</v>
      </c>
      <c r="J40" s="51">
        <f>J38+J37+J32+J31+J39</f>
        <v>326947.46587935649</v>
      </c>
      <c r="K40" s="51">
        <f>K38+K37+K32+K31+K39</f>
        <v>0</v>
      </c>
      <c r="L40" s="52">
        <f t="shared" si="15"/>
        <v>326947.46587935649</v>
      </c>
      <c r="M40" s="51">
        <f>M38+M37+M32+M31+M39</f>
        <v>334490.8178665475</v>
      </c>
      <c r="N40" s="51">
        <f>N38+N37+N32+N31+N39</f>
        <v>0</v>
      </c>
      <c r="O40" s="52">
        <f t="shared" si="16"/>
        <v>334490.8178665475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12438.095947248457</v>
      </c>
      <c r="E42" s="22">
        <v>0</v>
      </c>
      <c r="F42" s="36">
        <f t="shared" si="13"/>
        <v>12438.095947248457</v>
      </c>
      <c r="G42" s="22">
        <v>23436.412299317024</v>
      </c>
      <c r="H42" s="22">
        <v>0</v>
      </c>
      <c r="I42" s="36">
        <f t="shared" si="17"/>
        <v>23436.412299317024</v>
      </c>
      <c r="J42" s="22">
        <v>23436.412299317024</v>
      </c>
      <c r="K42" s="22">
        <v>0</v>
      </c>
      <c r="L42" s="36">
        <f t="shared" si="15"/>
        <v>23436.412299317024</v>
      </c>
      <c r="M42" s="22">
        <v>23436.412299317024</v>
      </c>
      <c r="N42" s="22">
        <v>0</v>
      </c>
      <c r="O42" s="36">
        <f t="shared" si="16"/>
        <v>23436.412299317024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f>-435485.827786038+366516</f>
        <v>-68969.827786037989</v>
      </c>
      <c r="E44" s="57">
        <v>0</v>
      </c>
      <c r="F44" s="36">
        <f t="shared" si="13"/>
        <v>-68969.827786037989</v>
      </c>
      <c r="G44" s="57">
        <v>-109123.74466582862</v>
      </c>
      <c r="H44" s="57">
        <v>0</v>
      </c>
      <c r="I44" s="36">
        <f t="shared" si="17"/>
        <v>-109123.74466582862</v>
      </c>
      <c r="J44" s="57">
        <v>-38714.657000000007</v>
      </c>
      <c r="K44" s="57">
        <v>0</v>
      </c>
      <c r="L44" s="36">
        <f t="shared" si="15"/>
        <v>-38714.657000000007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1011692.7752906445</v>
      </c>
      <c r="E47" s="59">
        <f>E25+E30+E40+E41+E42+E43+E44+E45</f>
        <v>0</v>
      </c>
      <c r="F47" s="60">
        <f>D47+E47</f>
        <v>1011692.7752906445</v>
      </c>
      <c r="G47" s="59">
        <f>G25+G30+G40+G41+G42+G43+G44+G46</f>
        <v>991157.96295204328</v>
      </c>
      <c r="H47" s="59">
        <f>H25+H30+H40+H41+H42+H43+H44+H45+H46</f>
        <v>0</v>
      </c>
      <c r="I47" s="60">
        <f>G47+H47</f>
        <v>991157.96295204328</v>
      </c>
      <c r="J47" s="59">
        <f>J25+J30+J40+J41+J42+J43+J44+J46</f>
        <v>1038223.9938927084</v>
      </c>
      <c r="K47" s="59">
        <f>K25+K30+K40+K41+K42+K43+K44+K45+K46</f>
        <v>0</v>
      </c>
      <c r="L47" s="60">
        <f>J47+K47</f>
        <v>1038223.9938927084</v>
      </c>
      <c r="M47" s="59">
        <f>M25+M30+M40+M41+M42+M43+M44+M46</f>
        <v>1084482.0028798995</v>
      </c>
      <c r="N47" s="59">
        <f>N25+N30+N40+N41+N42+N43+N44+N45+N46</f>
        <v>0</v>
      </c>
      <c r="O47" s="60">
        <f>M47+N47</f>
        <v>1084482.0028798995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2513351.45173366</v>
      </c>
      <c r="E49" s="65">
        <v>0</v>
      </c>
      <c r="F49" s="65">
        <f>D49+E49</f>
        <v>2513351.45173366</v>
      </c>
      <c r="G49" s="65">
        <f>G50</f>
        <v>2551658.6418525907</v>
      </c>
      <c r="H49" s="65">
        <v>0</v>
      </c>
      <c r="I49" s="65">
        <f t="shared" ref="I49" si="21">G49+H49</f>
        <v>2551658.6418525907</v>
      </c>
      <c r="J49" s="65">
        <f>J50</f>
        <v>2598724.6727932557</v>
      </c>
      <c r="K49" s="65">
        <v>0</v>
      </c>
      <c r="L49" s="65">
        <f t="shared" ref="L49" si="22">J49+K49</f>
        <v>2598724.6727932557</v>
      </c>
      <c r="M49" s="65">
        <f>M50</f>
        <v>2644982.6817804468</v>
      </c>
      <c r="N49" s="65">
        <v>0</v>
      </c>
      <c r="O49" s="65">
        <f t="shared" ref="O49" si="23">M49+N49</f>
        <v>2644982.6817804468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2513351.45173366</v>
      </c>
      <c r="E50" s="59">
        <f t="shared" si="24"/>
        <v>0</v>
      </c>
      <c r="F50" s="59">
        <f t="shared" si="24"/>
        <v>2513351.45173366</v>
      </c>
      <c r="G50" s="59">
        <f>+G23+G47</f>
        <v>2551658.6418525907</v>
      </c>
      <c r="H50" s="59">
        <f t="shared" si="24"/>
        <v>0</v>
      </c>
      <c r="I50" s="59">
        <f t="shared" si="24"/>
        <v>2551658.6418525907</v>
      </c>
      <c r="J50" s="59">
        <f t="shared" si="24"/>
        <v>2598724.6727932557</v>
      </c>
      <c r="K50" s="59">
        <f>+K23+K47</f>
        <v>0</v>
      </c>
      <c r="L50" s="59">
        <f t="shared" si="24"/>
        <v>2598724.6727932557</v>
      </c>
      <c r="M50" s="59">
        <f>+M23+M47</f>
        <v>2644982.6817804468</v>
      </c>
      <c r="N50" s="59">
        <f t="shared" si="24"/>
        <v>0</v>
      </c>
      <c r="O50" s="59">
        <f t="shared" si="24"/>
        <v>2644982.6817804468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-68969.827786037989</v>
      </c>
      <c r="E51" s="68"/>
      <c r="F51" s="146"/>
      <c r="G51" s="68">
        <f>G44+G20</f>
        <v>-109123.74466582862</v>
      </c>
      <c r="H51" s="68"/>
      <c r="I51" s="146"/>
      <c r="J51" s="68">
        <f>J44+J20</f>
        <v>-38714.657000000007</v>
      </c>
      <c r="K51" s="68"/>
      <c r="L51" s="146"/>
      <c r="M51" s="68">
        <f>M44+M20</f>
        <v>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0.81510000000000016</v>
      </c>
      <c r="G53" s="72"/>
      <c r="H53" s="73"/>
      <c r="I53" s="74">
        <v>0.81510000000000016</v>
      </c>
      <c r="J53" s="72"/>
      <c r="K53" s="73"/>
      <c r="L53" s="74">
        <v>0.81510000000000016</v>
      </c>
      <c r="M53" s="72"/>
      <c r="N53" s="73"/>
      <c r="O53" s="74">
        <v>0.81510000000000016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8030.5469999999996</v>
      </c>
      <c r="G54" s="34"/>
      <c r="H54" s="76"/>
      <c r="I54" s="77">
        <v>8030.5469999999996</v>
      </c>
      <c r="J54" s="34"/>
      <c r="K54" s="76"/>
      <c r="L54" s="77">
        <v>8030.5469999999996</v>
      </c>
      <c r="M54" s="34"/>
      <c r="N54" s="76"/>
      <c r="O54" s="77">
        <v>8030.5469999999996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30.369278019648153</v>
      </c>
      <c r="G55" s="34"/>
      <c r="H55" s="76"/>
      <c r="I55" s="78">
        <v>31.070880750713489</v>
      </c>
      <c r="J55" s="34"/>
      <c r="K55" s="76"/>
      <c r="L55" s="78">
        <v>31.239895582658168</v>
      </c>
      <c r="M55" s="34"/>
      <c r="N55" s="76"/>
      <c r="O55" s="78">
        <v>31.638964321557879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29.071449261265947</v>
      </c>
      <c r="G56" s="81"/>
      <c r="H56" s="82"/>
      <c r="I56" s="78">
        <v>29.071449261265947</v>
      </c>
      <c r="J56" s="81"/>
      <c r="K56" s="82"/>
      <c r="L56" s="78">
        <v>29.071449261265947</v>
      </c>
      <c r="M56" s="81"/>
      <c r="N56" s="82"/>
      <c r="O56" s="78">
        <v>29.071449261265947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-6.0220645315529897E-2</v>
      </c>
      <c r="G60" s="90"/>
      <c r="H60" s="76"/>
      <c r="I60" s="89">
        <v>-6.0220645315529897E-2</v>
      </c>
      <c r="J60" s="34"/>
      <c r="K60" s="91"/>
      <c r="L60" s="89">
        <v>-6.0220645315529897E-2</v>
      </c>
      <c r="M60" s="34"/>
      <c r="N60" s="76"/>
      <c r="O60" s="89">
        <v>-6.0220645315529897E-2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-6.0220645315529897E-2</v>
      </c>
      <c r="G61" s="90"/>
      <c r="H61" s="76"/>
      <c r="I61" s="92">
        <v>-6.0220645315529897E-2</v>
      </c>
      <c r="J61" s="34"/>
      <c r="K61" s="76"/>
      <c r="L61" s="93">
        <v>-6.0220645315529897E-2</v>
      </c>
      <c r="M61" s="34"/>
      <c r="N61" s="76"/>
      <c r="O61" s="92">
        <v>-6.0220645315529897E-2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0.93977935468447016</v>
      </c>
      <c r="G62" s="95"/>
      <c r="H62" s="82"/>
      <c r="I62" s="94">
        <v>0.93977935468447016</v>
      </c>
      <c r="J62" s="81"/>
      <c r="K62" s="82"/>
      <c r="L62" s="94">
        <v>0.93977935468447016</v>
      </c>
      <c r="M62" s="81"/>
      <c r="N62" s="82"/>
      <c r="O62" s="94">
        <v>0.93977935468447016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2513351.45173366</v>
      </c>
      <c r="G72" s="34"/>
      <c r="H72" s="76"/>
      <c r="I72" s="108">
        <f>I50</f>
        <v>2551658.6418525907</v>
      </c>
      <c r="J72" s="34"/>
      <c r="K72" s="76"/>
      <c r="L72" s="108">
        <f>L50</f>
        <v>2598724.6727932557</v>
      </c>
      <c r="M72" s="34"/>
      <c r="N72" s="76"/>
      <c r="O72" s="108">
        <f>O50</f>
        <v>2644982.6817804468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2364476.365035004</v>
      </c>
      <c r="G73" s="34"/>
      <c r="H73" s="76"/>
      <c r="I73" s="110">
        <f>F81</f>
        <v>1501658.6764430155</v>
      </c>
      <c r="J73" s="34"/>
      <c r="K73" s="76"/>
      <c r="L73" s="110">
        <f>I81</f>
        <v>1560500.6789005473</v>
      </c>
      <c r="M73" s="34"/>
      <c r="N73" s="76"/>
      <c r="O73" s="110">
        <f>L81</f>
        <v>1560500.6789005473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130685.31696499565</v>
      </c>
      <c r="G74" s="34"/>
      <c r="H74" s="76"/>
      <c r="I74" s="110">
        <f>F82</f>
        <v>1011692.7752906445</v>
      </c>
      <c r="J74" s="34"/>
      <c r="K74" s="76"/>
      <c r="L74" s="110">
        <f>I82</f>
        <v>991157.9629520434</v>
      </c>
      <c r="M74" s="34"/>
      <c r="N74" s="76"/>
      <c r="O74" s="110">
        <f>L82</f>
        <v>1038223.9938927083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2495161.6819999996</v>
      </c>
      <c r="G75" s="34"/>
      <c r="H75" s="76"/>
      <c r="I75" s="111">
        <f>SUM(I73:I74)</f>
        <v>2513351.45173366</v>
      </c>
      <c r="J75" s="34"/>
      <c r="K75" s="76"/>
      <c r="L75" s="111">
        <f>SUM(L73:L74)</f>
        <v>2551658.6418525907</v>
      </c>
      <c r="M75" s="34"/>
      <c r="N75" s="76"/>
      <c r="O75" s="111">
        <f>SUM(O73:O74)</f>
        <v>2598724.6727932557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1.0072900164606089</v>
      </c>
      <c r="G76" s="81"/>
      <c r="H76" s="82"/>
      <c r="I76" s="112">
        <f>I72/I75</f>
        <v>1.0152414777059957</v>
      </c>
      <c r="J76" s="81"/>
      <c r="K76" s="82"/>
      <c r="L76" s="112">
        <f>L72/L75</f>
        <v>1.0184452693509558</v>
      </c>
      <c r="M76" s="81"/>
      <c r="N76" s="82"/>
      <c r="O76" s="112">
        <f>O72/O75</f>
        <v>1.0178002731383893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2513351.45173366</v>
      </c>
      <c r="G78" s="73"/>
      <c r="H78" s="73"/>
      <c r="I78" s="115">
        <f>IF(I72&lt;=I75*I71,I72,I75*I71)</f>
        <v>2551658.6418525907</v>
      </c>
      <c r="J78" s="73"/>
      <c r="K78" s="73"/>
      <c r="L78" s="115">
        <f>IF(L72&lt;=L75*L71,L72,L75*L71)</f>
        <v>2598724.6727932557</v>
      </c>
      <c r="M78" s="73"/>
      <c r="N78" s="73"/>
      <c r="O78" s="115">
        <f>IF(O72&lt;=O75*O71,O72,O75*O71)</f>
        <v>2644982.6817804468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1501658.6764430155</v>
      </c>
      <c r="E81" s="120">
        <f>E23</f>
        <v>0</v>
      </c>
      <c r="F81" s="115">
        <f>D81+E81</f>
        <v>1501658.6764430155</v>
      </c>
      <c r="G81" s="119">
        <f>G23-I79</f>
        <v>1560500.6789005473</v>
      </c>
      <c r="H81" s="120">
        <f>H23</f>
        <v>0</v>
      </c>
      <c r="I81" s="115">
        <f>G81+H81</f>
        <v>1560500.6789005473</v>
      </c>
      <c r="J81" s="119">
        <f>J23-L79</f>
        <v>1560500.6789005473</v>
      </c>
      <c r="K81" s="120">
        <f>K23</f>
        <v>0</v>
      </c>
      <c r="L81" s="115">
        <f>J81+K81</f>
        <v>1560500.6789005473</v>
      </c>
      <c r="M81" s="119">
        <f>M23-O79</f>
        <v>1560500.6789005473</v>
      </c>
      <c r="N81" s="120">
        <f>N23</f>
        <v>0</v>
      </c>
      <c r="O81" s="115">
        <f>M81+N81</f>
        <v>1560500.6789005473</v>
      </c>
    </row>
    <row r="82" spans="1:52" s="14" customFormat="1" ht="20" customHeight="1" thickBot="1">
      <c r="B82" s="118" t="s">
        <v>72</v>
      </c>
      <c r="D82" s="121">
        <f>D50-D81-F79</f>
        <v>1011692.7752906445</v>
      </c>
      <c r="E82" s="122">
        <f>E50-E81</f>
        <v>0</v>
      </c>
      <c r="F82" s="123">
        <f>D82+E82</f>
        <v>1011692.7752906445</v>
      </c>
      <c r="G82" s="121">
        <f>G49-G81-I79</f>
        <v>991157.9629520434</v>
      </c>
      <c r="H82" s="122">
        <f>H50-H81</f>
        <v>0</v>
      </c>
      <c r="I82" s="123">
        <f>G82+H82</f>
        <v>991157.9629520434</v>
      </c>
      <c r="J82" s="121">
        <f>J50-J81-L79</f>
        <v>1038223.9938927083</v>
      </c>
      <c r="K82" s="122">
        <f>K50-K81</f>
        <v>0</v>
      </c>
      <c r="L82" s="123">
        <f>J82+K82</f>
        <v>1038223.9938927083</v>
      </c>
      <c r="M82" s="121">
        <f>M49-M81-O79</f>
        <v>1084482.0028798995</v>
      </c>
      <c r="N82" s="122">
        <f>N50-N81</f>
        <v>0</v>
      </c>
      <c r="O82" s="123">
        <f>M82+N82</f>
        <v>1084482.0028798995</v>
      </c>
    </row>
    <row r="83" spans="1:52" s="124" customFormat="1" ht="17.25" customHeight="1" thickBot="1">
      <c r="B83" s="125" t="s">
        <v>73</v>
      </c>
      <c r="C83" s="14"/>
      <c r="D83" s="126">
        <f>SUM(D81:D82)</f>
        <v>2513351.45173366</v>
      </c>
      <c r="E83" s="127">
        <f t="shared" ref="E83:O83" si="25">SUM(E81:E82)</f>
        <v>0</v>
      </c>
      <c r="F83" s="128">
        <f t="shared" si="25"/>
        <v>2513351.45173366</v>
      </c>
      <c r="G83" s="126">
        <f t="shared" si="25"/>
        <v>2551658.6418525907</v>
      </c>
      <c r="H83" s="127">
        <f t="shared" si="25"/>
        <v>0</v>
      </c>
      <c r="I83" s="128">
        <f t="shared" si="25"/>
        <v>2551658.6418525907</v>
      </c>
      <c r="J83" s="126">
        <f t="shared" si="25"/>
        <v>2598724.6727932557</v>
      </c>
      <c r="K83" s="127">
        <f t="shared" si="25"/>
        <v>0</v>
      </c>
      <c r="L83" s="128">
        <f t="shared" si="25"/>
        <v>2598724.6727932557</v>
      </c>
      <c r="M83" s="126">
        <f t="shared" si="25"/>
        <v>2644982.6817804468</v>
      </c>
      <c r="N83" s="127">
        <f t="shared" si="25"/>
        <v>0</v>
      </c>
      <c r="O83" s="128">
        <f t="shared" si="25"/>
        <v>2644982.6817804468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1501658.6764430155</v>
      </c>
      <c r="G88" s="72"/>
      <c r="H88" s="73"/>
      <c r="I88" s="136">
        <f>I81-I85</f>
        <v>1560500.6789005473</v>
      </c>
      <c r="J88" s="72"/>
      <c r="K88" s="73"/>
      <c r="L88" s="136">
        <f>L81-L85</f>
        <v>1560500.6789005473</v>
      </c>
      <c r="M88" s="72"/>
      <c r="N88" s="73"/>
      <c r="O88" s="136">
        <f>O81-O85</f>
        <v>1560500.6789005473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1011692.7752906445</v>
      </c>
      <c r="G89" s="34"/>
      <c r="H89" s="76"/>
      <c r="I89" s="138">
        <f>I82-I86</f>
        <v>991157.9629520434</v>
      </c>
      <c r="J89" s="34"/>
      <c r="K89" s="76"/>
      <c r="L89" s="138">
        <f>L82-L86</f>
        <v>1038223.9938927083</v>
      </c>
      <c r="M89" s="34"/>
      <c r="N89" s="76"/>
      <c r="O89" s="138">
        <f>O82-O86</f>
        <v>1084482.0028798995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2513351.45173366</v>
      </c>
      <c r="G90" s="81"/>
      <c r="H90" s="82"/>
      <c r="I90" s="139">
        <f>+I88+I89</f>
        <v>2551658.6418525907</v>
      </c>
      <c r="J90" s="81"/>
      <c r="K90" s="82"/>
      <c r="L90" s="139">
        <f>+L88+L89</f>
        <v>2598724.6727932557</v>
      </c>
      <c r="M90" s="81"/>
      <c r="N90" s="82"/>
      <c r="O90" s="139">
        <f>+O88+O89</f>
        <v>2644982.6817804468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-263.76358772254025</v>
      </c>
      <c r="E92" s="143">
        <v>0</v>
      </c>
      <c r="F92" s="144">
        <f>D92+E92</f>
        <v>-263.76358772254025</v>
      </c>
      <c r="G92" s="142">
        <v>-12503.942075426883</v>
      </c>
      <c r="H92" s="143">
        <v>0</v>
      </c>
      <c r="I92" s="144">
        <f>G92+H92</f>
        <v>-12503.942075426883</v>
      </c>
      <c r="J92" s="142">
        <v>-12503.942075426883</v>
      </c>
      <c r="K92" s="143">
        <v>0</v>
      </c>
      <c r="L92" s="144">
        <f>J92+K92</f>
        <v>-12503.942075426883</v>
      </c>
      <c r="M92" s="142">
        <v>-12503.942075426883</v>
      </c>
      <c r="N92" s="143">
        <v>0</v>
      </c>
      <c r="O92" s="144">
        <f>M92+N92</f>
        <v>-12503.942075426883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73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2693841.0116612832</v>
      </c>
      <c r="E96" s="166">
        <f>E6+E7+E8+E9+E11+E25+E30+E40+E42+E21+E45</f>
        <v>0</v>
      </c>
      <c r="F96" s="166">
        <f t="shared" ref="F96" si="26">F6+F7+F8+F9+F11+F25+F30+F40+F42</f>
        <v>2693841.0116612832</v>
      </c>
      <c r="G96" s="166">
        <f t="shared" ref="G96" si="27">G6+G7+G8+G9+G11+G25+G30+G40+G42+G21+G45</f>
        <v>2772190.710336186</v>
      </c>
      <c r="H96" s="166">
        <f t="shared" ref="H96" si="28">H6+H7+H8+H9+H11+H25+H30+H40+H42</f>
        <v>0</v>
      </c>
      <c r="I96" s="166">
        <f t="shared" ref="I96" si="29">I6+I7+I8+I9+I11+I25+I30+I40+I42+I21+I45</f>
        <v>2772190.710336186</v>
      </c>
      <c r="J96" s="166">
        <f t="shared" ref="J96" si="30">J6+J7+J8+J9+J11+J25+J30+J40+J42</f>
        <v>2748847.6536110225</v>
      </c>
      <c r="K96" s="166">
        <f t="shared" ref="K96" si="31">K6+K7+K8+K9+K11+K25+K30+K40+K42+K21+K45</f>
        <v>0</v>
      </c>
      <c r="L96" s="166">
        <f t="shared" ref="L96" si="32">L6+L7+L8+L9+L11+L25+L30+L40+L42</f>
        <v>2748847.6536110225</v>
      </c>
      <c r="M96" s="166">
        <f t="shared" ref="M96" si="33">M6+M7+M8+M9+M11+M25+M30+M40+M42+M21+M45</f>
        <v>2756391.0055982135</v>
      </c>
      <c r="N96" s="166">
        <f t="shared" ref="N96" si="34">N6+N7+N8+N9+N11+N25+N30+N40+N42</f>
        <v>0</v>
      </c>
      <c r="O96" s="166">
        <f t="shared" ref="O96" si="35">O6+O7+O8+O9+O11+O25+O30+O40+O42+O21+O45</f>
        <v>2756391.0055982135</v>
      </c>
    </row>
    <row r="97" spans="4:15" s="14" customFormat="1">
      <c r="D97" s="166">
        <f>D96-D15-D19</f>
        <v>2582321.2795196981</v>
      </c>
      <c r="E97" s="166">
        <f>E96-E15-E19</f>
        <v>0</v>
      </c>
      <c r="F97" s="166">
        <f t="shared" ref="F97:O97" si="36">F96-F15-F19</f>
        <v>2582321.2795196981</v>
      </c>
      <c r="G97" s="166">
        <f t="shared" si="36"/>
        <v>2660782.3865184188</v>
      </c>
      <c r="H97" s="166">
        <f t="shared" si="36"/>
        <v>0</v>
      </c>
      <c r="I97" s="166">
        <f t="shared" si="36"/>
        <v>2660782.3865184188</v>
      </c>
      <c r="J97" s="166">
        <f t="shared" si="36"/>
        <v>2637439.3297932553</v>
      </c>
      <c r="K97" s="166">
        <f t="shared" si="36"/>
        <v>0</v>
      </c>
      <c r="L97" s="166">
        <f t="shared" si="36"/>
        <v>2637439.3297932553</v>
      </c>
      <c r="M97" s="166">
        <f t="shared" si="36"/>
        <v>2644982.6817804463</v>
      </c>
      <c r="N97" s="166">
        <f t="shared" si="36"/>
        <v>0</v>
      </c>
      <c r="O97" s="166">
        <f t="shared" si="36"/>
        <v>2644982.6817804463</v>
      </c>
    </row>
    <row r="98" spans="4:15" s="14" customFormat="1">
      <c r="D98" s="166">
        <f>D20+D44</f>
        <v>-68969.827786037989</v>
      </c>
      <c r="E98" s="166">
        <f>E20+E44</f>
        <v>0</v>
      </c>
      <c r="F98" s="166">
        <f t="shared" ref="F98:O98" si="37">F20+F44</f>
        <v>-68969.827786037989</v>
      </c>
      <c r="G98" s="166">
        <f t="shared" si="37"/>
        <v>-109123.74466582862</v>
      </c>
      <c r="H98" s="166">
        <f t="shared" si="37"/>
        <v>0</v>
      </c>
      <c r="I98" s="166">
        <f t="shared" si="37"/>
        <v>-109123.74466582862</v>
      </c>
      <c r="J98" s="166">
        <f t="shared" si="37"/>
        <v>-38714.657000000007</v>
      </c>
      <c r="K98" s="166">
        <f t="shared" si="37"/>
        <v>0</v>
      </c>
      <c r="L98" s="166">
        <f t="shared" si="37"/>
        <v>-38714.657000000007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52" priority="7" operator="containsText" text="ERRORE">
      <formula>NOT(ISERROR(SEARCH("ERRORE",F81)))</formula>
    </cfRule>
  </conditionalFormatting>
  <conditionalFormatting sqref="I83">
    <cfRule type="containsText" dxfId="151" priority="6" operator="containsText" text="ERRORE">
      <formula>NOT(ISERROR(SEARCH("ERRORE",I83)))</formula>
    </cfRule>
  </conditionalFormatting>
  <conditionalFormatting sqref="I81:I82">
    <cfRule type="containsText" dxfId="150" priority="5" operator="containsText" text="ERRORE">
      <formula>NOT(ISERROR(SEARCH("ERRORE",I81)))</formula>
    </cfRule>
  </conditionalFormatting>
  <conditionalFormatting sqref="L83">
    <cfRule type="containsText" dxfId="149" priority="4" operator="containsText" text="ERRORE">
      <formula>NOT(ISERROR(SEARCH("ERRORE",L83)))</formula>
    </cfRule>
  </conditionalFormatting>
  <conditionalFormatting sqref="L81:L82">
    <cfRule type="containsText" dxfId="148" priority="3" operator="containsText" text="ERRORE">
      <formula>NOT(ISERROR(SEARCH("ERRORE",L81)))</formula>
    </cfRule>
  </conditionalFormatting>
  <conditionalFormatting sqref="O83">
    <cfRule type="containsText" dxfId="147" priority="2" operator="containsText" text="ERRORE">
      <formula>NOT(ISERROR(SEARCH("ERRORE",O83)))</formula>
    </cfRule>
  </conditionalFormatting>
  <conditionalFormatting sqref="O81:O82">
    <cfRule type="containsText" dxfId="146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F70" zoomScale="70" zoomScaleNormal="70" zoomScalePageLayoutView="70" workbookViewId="0">
      <selection activeCell="M51" sqref="M51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97</v>
      </c>
      <c r="B1" s="2" t="str">
        <f>"       PEF 2022 - 2025"&amp;" - "&amp;A1</f>
        <v xml:space="preserve">       PEF 2022 - 2025 - Martellago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134</v>
      </c>
      <c r="E4" s="188"/>
      <c r="F4" s="189"/>
      <c r="G4" s="187" t="str">
        <f>D4</f>
        <v>Ambito tariffario:Martellago</v>
      </c>
      <c r="H4" s="188"/>
      <c r="I4" s="189"/>
      <c r="J4" s="187" t="str">
        <f>D4</f>
        <v>Ambito tariffario:Martellago</v>
      </c>
      <c r="K4" s="188"/>
      <c r="L4" s="189"/>
      <c r="M4" s="187" t="str">
        <f>D4</f>
        <v>Ambito tariffario:Martellago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240798.70027247682</v>
      </c>
      <c r="E6" s="22">
        <v>0</v>
      </c>
      <c r="F6" s="23">
        <f>D6+E6</f>
        <v>240798.70027247682</v>
      </c>
      <c r="G6" s="22">
        <v>249095.13069244701</v>
      </c>
      <c r="H6" s="22">
        <v>0</v>
      </c>
      <c r="I6" s="23">
        <f>G6+H6</f>
        <v>249095.13069244701</v>
      </c>
      <c r="J6" s="22">
        <v>249095.13069244701</v>
      </c>
      <c r="K6" s="22">
        <v>0</v>
      </c>
      <c r="L6" s="23">
        <f>J6+K6</f>
        <v>249095.13069244701</v>
      </c>
      <c r="M6" s="22">
        <v>249095.13069244701</v>
      </c>
      <c r="N6" s="22">
        <v>0</v>
      </c>
      <c r="O6" s="23">
        <f>M6+N6</f>
        <v>249095.13069244701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353057.79376710329</v>
      </c>
      <c r="E7" s="22">
        <v>0</v>
      </c>
      <c r="F7" s="23">
        <f t="shared" ref="F7:F20" si="0">D7+E7</f>
        <v>353057.79376710329</v>
      </c>
      <c r="G7" s="22">
        <v>369574.3642563835</v>
      </c>
      <c r="H7" s="22">
        <v>0</v>
      </c>
      <c r="I7" s="23">
        <f t="shared" ref="I7:I13" si="1">G7+H7</f>
        <v>369574.3642563835</v>
      </c>
      <c r="J7" s="22">
        <v>369574.3642563835</v>
      </c>
      <c r="K7" s="22">
        <v>0</v>
      </c>
      <c r="L7" s="23">
        <f t="shared" ref="L7:L12" si="2">J7+K7</f>
        <v>369574.3642563835</v>
      </c>
      <c r="M7" s="22">
        <v>369574.3642563835</v>
      </c>
      <c r="N7" s="22">
        <v>0</v>
      </c>
      <c r="O7" s="23">
        <f t="shared" ref="O7:O13" si="3">M7+N7</f>
        <v>369574.3642563835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525002.35627554799</v>
      </c>
      <c r="E8" s="22">
        <v>0</v>
      </c>
      <c r="F8" s="23">
        <f t="shared" si="0"/>
        <v>525002.35627554799</v>
      </c>
      <c r="G8" s="22">
        <v>549575.62540946342</v>
      </c>
      <c r="H8" s="22">
        <v>0</v>
      </c>
      <c r="I8" s="23">
        <f t="shared" si="1"/>
        <v>549575.62540946342</v>
      </c>
      <c r="J8" s="22">
        <v>549575.62540946342</v>
      </c>
      <c r="K8" s="22">
        <v>0</v>
      </c>
      <c r="L8" s="23">
        <f t="shared" si="2"/>
        <v>549575.62540946342</v>
      </c>
      <c r="M8" s="22">
        <v>549575.62540946342</v>
      </c>
      <c r="N8" s="22">
        <v>0</v>
      </c>
      <c r="O8" s="23">
        <f t="shared" si="3"/>
        <v>549575.62540946342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546011.4344660138</v>
      </c>
      <c r="E9" s="22">
        <v>0</v>
      </c>
      <c r="F9" s="23">
        <f t="shared" si="0"/>
        <v>546011.4344660138</v>
      </c>
      <c r="G9" s="22">
        <v>561432.87183318229</v>
      </c>
      <c r="H9" s="22">
        <v>0</v>
      </c>
      <c r="I9" s="23">
        <f t="shared" si="1"/>
        <v>561432.87183318229</v>
      </c>
      <c r="J9" s="22">
        <v>561432.87183318229</v>
      </c>
      <c r="K9" s="22">
        <v>0</v>
      </c>
      <c r="L9" s="23">
        <f t="shared" si="2"/>
        <v>561432.87183318229</v>
      </c>
      <c r="M9" s="22">
        <v>561432.87183318229</v>
      </c>
      <c r="N9" s="22">
        <v>0</v>
      </c>
      <c r="O9" s="23">
        <f t="shared" si="3"/>
        <v>561432.87183318229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7796.6964097345463</v>
      </c>
      <c r="E11" s="22">
        <v>0</v>
      </c>
      <c r="F11" s="23">
        <f t="shared" si="0"/>
        <v>7796.6964097345463</v>
      </c>
      <c r="G11" s="22">
        <v>7796.6964097345463</v>
      </c>
      <c r="H11" s="22">
        <v>0</v>
      </c>
      <c r="I11" s="23">
        <f t="shared" si="1"/>
        <v>7796.6964097345463</v>
      </c>
      <c r="J11" s="22">
        <v>7796.6964097345463</v>
      </c>
      <c r="K11" s="22">
        <v>0</v>
      </c>
      <c r="L11" s="23">
        <f t="shared" si="2"/>
        <v>7796.6964097345463</v>
      </c>
      <c r="M11" s="22">
        <v>7796.6964097345463</v>
      </c>
      <c r="N11" s="22">
        <v>0</v>
      </c>
      <c r="O11" s="23">
        <f t="shared" si="3"/>
        <v>7796.6964097345463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203076.99202498456</v>
      </c>
      <c r="E13" s="22">
        <v>0</v>
      </c>
      <c r="F13" s="23">
        <f t="shared" si="0"/>
        <v>203076.99202498456</v>
      </c>
      <c r="G13" s="22">
        <v>202874.11790707754</v>
      </c>
      <c r="H13" s="22">
        <v>0</v>
      </c>
      <c r="I13" s="23">
        <f t="shared" si="1"/>
        <v>202874.11790707754</v>
      </c>
      <c r="J13" s="22">
        <v>202874.11790707754</v>
      </c>
      <c r="K13" s="22">
        <v>0</v>
      </c>
      <c r="L13" s="23">
        <f>J13+K13</f>
        <v>202874.11790707754</v>
      </c>
      <c r="M13" s="22">
        <v>202874.11790707754</v>
      </c>
      <c r="N13" s="22">
        <v>0</v>
      </c>
      <c r="O13" s="23">
        <f t="shared" si="3"/>
        <v>202874.11790707754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177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121846.19521499073</v>
      </c>
      <c r="E15" s="22">
        <v>0</v>
      </c>
      <c r="F15" s="23">
        <f t="shared" si="0"/>
        <v>121846.19521499073</v>
      </c>
      <c r="G15" s="22">
        <v>121724.47074424652</v>
      </c>
      <c r="H15" s="22">
        <v>0</v>
      </c>
      <c r="I15" s="23">
        <f t="shared" ref="I15:I16" si="4">G15+H15</f>
        <v>121724.47074424652</v>
      </c>
      <c r="J15" s="22">
        <v>121724.47074424652</v>
      </c>
      <c r="K15" s="22">
        <v>0</v>
      </c>
      <c r="L15" s="23">
        <f t="shared" ref="L15:L16" si="5">J15+K15</f>
        <v>121724.47074424652</v>
      </c>
      <c r="M15" s="22">
        <v>121724.47074424652</v>
      </c>
      <c r="N15" s="22">
        <v>0</v>
      </c>
      <c r="O15" s="23">
        <f t="shared" ref="O15:O16" si="6">M15+N15</f>
        <v>121724.47074424652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3979.6209410413335</v>
      </c>
      <c r="E16" s="22">
        <v>0</v>
      </c>
      <c r="F16" s="23">
        <f t="shared" si="0"/>
        <v>3979.6209410413335</v>
      </c>
      <c r="G16" s="22">
        <v>3975.6452957455886</v>
      </c>
      <c r="H16" s="22">
        <v>0</v>
      </c>
      <c r="I16" s="23">
        <f t="shared" si="4"/>
        <v>3975.6452957455886</v>
      </c>
      <c r="J16" s="22">
        <v>3975.6452957455886</v>
      </c>
      <c r="K16" s="22">
        <v>0</v>
      </c>
      <c r="L16" s="23">
        <f t="shared" si="5"/>
        <v>3975.6452957455886</v>
      </c>
      <c r="M16" s="22">
        <v>3975.6452957455886</v>
      </c>
      <c r="N16" s="22">
        <v>0</v>
      </c>
      <c r="O16" s="23">
        <f t="shared" si="6"/>
        <v>3975.6452957455886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0.2</v>
      </c>
      <c r="E17" s="29">
        <v>0.2</v>
      </c>
      <c r="F17" s="30">
        <f>D17</f>
        <v>0.2</v>
      </c>
      <c r="G17" s="29">
        <v>0.2</v>
      </c>
      <c r="H17" s="29">
        <v>0.2</v>
      </c>
      <c r="I17" s="30">
        <f>G17</f>
        <v>0.2</v>
      </c>
      <c r="J17" s="29">
        <v>0.2</v>
      </c>
      <c r="K17" s="29">
        <v>0.2</v>
      </c>
      <c r="L17" s="30">
        <v>0.2</v>
      </c>
      <c r="M17" s="29">
        <v>0.2</v>
      </c>
      <c r="N17" s="29">
        <v>0.2</v>
      </c>
      <c r="O17" s="30">
        <f>N17</f>
        <v>0.2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0.72</v>
      </c>
      <c r="E18" s="29">
        <v>0.72</v>
      </c>
      <c r="F18" s="31">
        <f>IF(D18=E18,D18,"n.d.")</f>
        <v>0.72</v>
      </c>
      <c r="G18" s="29">
        <v>0.72</v>
      </c>
      <c r="H18" s="29">
        <v>0.72</v>
      </c>
      <c r="I18" s="31">
        <f>IF(G18=H18,G18,"n.d.")</f>
        <v>0.72</v>
      </c>
      <c r="J18" s="29">
        <v>0.72</v>
      </c>
      <c r="K18" s="29">
        <v>0.72</v>
      </c>
      <c r="L18" s="31">
        <f>IF(J18=K18,J18,"n.d.")</f>
        <v>0.72</v>
      </c>
      <c r="M18" s="29">
        <v>0.72</v>
      </c>
      <c r="N18" s="29">
        <v>0.72</v>
      </c>
      <c r="O18" s="31">
        <f>IF(M18=N18,M18,"n.d.")</f>
        <v>0.72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2865.3270775497599</v>
      </c>
      <c r="E19" s="22">
        <v>0</v>
      </c>
      <c r="F19" s="23">
        <f t="shared" si="0"/>
        <v>2865.3270775497599</v>
      </c>
      <c r="G19" s="22">
        <v>2862.4646129368239</v>
      </c>
      <c r="H19" s="22">
        <v>0</v>
      </c>
      <c r="I19" s="23">
        <f t="shared" ref="I19:I20" si="7">G19+H19</f>
        <v>2862.4646129368239</v>
      </c>
      <c r="J19" s="22">
        <v>2862.4646129368239</v>
      </c>
      <c r="K19" s="22">
        <v>0</v>
      </c>
      <c r="L19" s="23">
        <f t="shared" ref="L19:L20" si="8">J19+K19</f>
        <v>2862.4646129368239</v>
      </c>
      <c r="M19" s="32">
        <v>2862.4646129368239</v>
      </c>
      <c r="N19" s="33">
        <v>0</v>
      </c>
      <c r="O19" s="23">
        <f t="shared" ref="O19:O20" si="9">M19+N19</f>
        <v>2862.4646129368239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180">
        <v>84447.925659035565</v>
      </c>
      <c r="E20" s="22">
        <v>0</v>
      </c>
      <c r="F20" s="23">
        <f t="shared" si="0"/>
        <v>84447.925659035565</v>
      </c>
      <c r="G20" s="22">
        <v>0</v>
      </c>
      <c r="H20" s="22">
        <v>0</v>
      </c>
      <c r="I20" s="23">
        <f t="shared" si="7"/>
        <v>0</v>
      </c>
      <c r="J20" s="180">
        <v>32644.763999999996</v>
      </c>
      <c r="K20" s="22">
        <v>0</v>
      </c>
      <c r="L20" s="23">
        <f t="shared" si="8"/>
        <v>32644.763999999996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163240.33845573713</v>
      </c>
      <c r="F21" s="23">
        <f>E21</f>
        <v>163240.33845573713</v>
      </c>
      <c r="G21" s="34"/>
      <c r="H21" s="22">
        <f>G23*0.1</f>
        <v>161288.77532440273</v>
      </c>
      <c r="I21" s="23">
        <f>H21</f>
        <v>161288.77532440273</v>
      </c>
      <c r="J21" s="34"/>
      <c r="K21" s="22">
        <f>J23*0.1</f>
        <v>164553.25172440274</v>
      </c>
      <c r="L21" s="23">
        <f>K21</f>
        <v>164553.25172440274</v>
      </c>
      <c r="M21" s="34"/>
      <c r="N21" s="22">
        <f>M23*0.1</f>
        <v>161288.77532440273</v>
      </c>
      <c r="O21" s="23">
        <f>N21</f>
        <v>161288.77532440273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1632403.3845573713</v>
      </c>
      <c r="E23" s="38">
        <f>E6+E7+E8+E9+E10+E11+E12-E15-E19+E20+E21</f>
        <v>163240.33845573713</v>
      </c>
      <c r="F23" s="38">
        <f>D23+E23</f>
        <v>1795643.7230131084</v>
      </c>
      <c r="G23" s="38">
        <f>G6+G7+G8+G9+G10+G11+G12-G15-G19+G20+G22</f>
        <v>1612887.7532440273</v>
      </c>
      <c r="H23" s="38">
        <f>H6+H7+H8+H9+H10+H11+H12-H15-H19+H20+H21+H22</f>
        <v>161288.77532440273</v>
      </c>
      <c r="I23" s="38">
        <f>G23+H23</f>
        <v>1774176.5285684299</v>
      </c>
      <c r="J23" s="38">
        <f>J6+J7+J8+J9+J10+J11+J12-J15-J19+J20+J22</f>
        <v>1645532.5172440272</v>
      </c>
      <c r="K23" s="38">
        <f>K6+K7+K8+K9+K10+K11+K12-K15-K19+K20+K21+K22</f>
        <v>164553.25172440274</v>
      </c>
      <c r="L23" s="38">
        <f>J23+K23</f>
        <v>1810085.7689684299</v>
      </c>
      <c r="M23" s="38">
        <f>M6+M7+M8+M9+M10+M11+M12-M15-M19+M20+M22</f>
        <v>1612887.7532440273</v>
      </c>
      <c r="N23" s="38">
        <f>N6+N7+N8+N9+N10+N11+N12-N15-N19+N20+N21+N22</f>
        <v>161288.77532440273</v>
      </c>
      <c r="O23" s="38">
        <f>M23+N23</f>
        <v>1774176.5285684299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285596.60329972021</v>
      </c>
      <c r="E25" s="44">
        <v>0</v>
      </c>
      <c r="F25" s="45">
        <f t="shared" ref="F25:F44" si="13">D25+E25</f>
        <v>285596.60329972021</v>
      </c>
      <c r="G25" s="44">
        <v>298521.84949361457</v>
      </c>
      <c r="H25" s="44">
        <v>0</v>
      </c>
      <c r="I25" s="45">
        <f t="shared" ref="I25:I33" si="14">G25+H25</f>
        <v>298521.84949361457</v>
      </c>
      <c r="J25" s="44">
        <v>298521.84949361457</v>
      </c>
      <c r="K25" s="44">
        <v>0</v>
      </c>
      <c r="L25" s="45">
        <f t="shared" ref="L25:L44" si="15">J25+K25</f>
        <v>298521.84949361457</v>
      </c>
      <c r="M25" s="44">
        <v>298521.84949361457</v>
      </c>
      <c r="N25" s="44">
        <v>0</v>
      </c>
      <c r="O25" s="45">
        <f t="shared" ref="O25:O43" si="16">M25+N25</f>
        <v>298521.84949361457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92283.593462903897</v>
      </c>
      <c r="E26" s="22">
        <v>63443.577577379991</v>
      </c>
      <c r="F26" s="36">
        <f t="shared" si="13"/>
        <v>155727.17104028389</v>
      </c>
      <c r="G26" s="22">
        <v>94986.968212210923</v>
      </c>
      <c r="H26" s="22">
        <v>63380.197380000005</v>
      </c>
      <c r="I26" s="36">
        <f t="shared" si="14"/>
        <v>158367.16559221092</v>
      </c>
      <c r="J26" s="22">
        <v>94986.968212210923</v>
      </c>
      <c r="K26" s="22">
        <v>63380.197380000005</v>
      </c>
      <c r="L26" s="36">
        <f t="shared" si="15"/>
        <v>158367.16559221092</v>
      </c>
      <c r="M26" s="22">
        <v>94986.968212210923</v>
      </c>
      <c r="N26" s="22">
        <v>63380.197380000005</v>
      </c>
      <c r="O26" s="36">
        <f t="shared" si="16"/>
        <v>158367.16559221092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212038.38409612828</v>
      </c>
      <c r="E27" s="47">
        <v>0</v>
      </c>
      <c r="F27" s="48">
        <f t="shared" si="13"/>
        <v>212038.38409612828</v>
      </c>
      <c r="G27" s="47">
        <v>220203.21599376175</v>
      </c>
      <c r="H27" s="47">
        <v>0</v>
      </c>
      <c r="I27" s="48">
        <f t="shared" si="14"/>
        <v>220203.21599376175</v>
      </c>
      <c r="J27" s="47">
        <v>220203.21599376175</v>
      </c>
      <c r="K27" s="47">
        <v>0</v>
      </c>
      <c r="L27" s="48">
        <f t="shared" si="15"/>
        <v>220203.21599376175</v>
      </c>
      <c r="M27" s="47">
        <v>220203.21599376175</v>
      </c>
      <c r="N27" s="47">
        <v>0</v>
      </c>
      <c r="O27" s="48">
        <f t="shared" si="16"/>
        <v>220203.21599376175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24098.164840794045</v>
      </c>
      <c r="E29" s="47">
        <v>12703</v>
      </c>
      <c r="F29" s="48">
        <f t="shared" si="13"/>
        <v>36801.164840794045</v>
      </c>
      <c r="G29" s="47">
        <v>24271.289872314796</v>
      </c>
      <c r="H29" s="47">
        <v>12703</v>
      </c>
      <c r="I29" s="48">
        <f t="shared" si="14"/>
        <v>36974.289872314796</v>
      </c>
      <c r="J29" s="47">
        <v>24271.289872314796</v>
      </c>
      <c r="K29" s="47">
        <v>12703</v>
      </c>
      <c r="L29" s="48">
        <f t="shared" si="15"/>
        <v>36974.289872314796</v>
      </c>
      <c r="M29" s="47">
        <v>24271.289872314796</v>
      </c>
      <c r="N29" s="47">
        <v>12703</v>
      </c>
      <c r="O29" s="48">
        <f t="shared" si="16"/>
        <v>36974.289872314796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328420.1423998262</v>
      </c>
      <c r="E30" s="51">
        <f>+E26+E27+E28+E29</f>
        <v>76146.577577379998</v>
      </c>
      <c r="F30" s="52">
        <f t="shared" si="13"/>
        <v>404566.7199772062</v>
      </c>
      <c r="G30" s="51">
        <f>+G26+G27+G28+G29</f>
        <v>339461.47407828749</v>
      </c>
      <c r="H30" s="51">
        <f>+H26+H27+H28+H29</f>
        <v>76083.197379999998</v>
      </c>
      <c r="I30" s="52">
        <f t="shared" si="14"/>
        <v>415544.67145828751</v>
      </c>
      <c r="J30" s="51">
        <f>+J26+J27+J28+J29</f>
        <v>339461.47407828749</v>
      </c>
      <c r="K30" s="51">
        <f>+K26+K27+K28+K29</f>
        <v>76083.197379999998</v>
      </c>
      <c r="L30" s="52">
        <f t="shared" si="15"/>
        <v>415544.67145828751</v>
      </c>
      <c r="M30" s="51">
        <f>+M26+M27+M28+M29</f>
        <v>339461.47407828749</v>
      </c>
      <c r="N30" s="51">
        <f>+N26+N27+N28+N29</f>
        <v>76083.197379999998</v>
      </c>
      <c r="O30" s="52">
        <f t="shared" si="16"/>
        <v>415544.67145828751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149271.77996755127</v>
      </c>
      <c r="E31" s="53">
        <v>0</v>
      </c>
      <c r="F31" s="48">
        <f t="shared" si="13"/>
        <v>149271.77996755127</v>
      </c>
      <c r="G31" s="147">
        <f>VLOOKUP($A$1,REM_ToolEnrico!$B$5:$J$38,4,FALSE)</f>
        <v>125276.57432596301</v>
      </c>
      <c r="H31" s="53">
        <v>0</v>
      </c>
      <c r="I31" s="48">
        <f t="shared" si="14"/>
        <v>125276.57432596301</v>
      </c>
      <c r="J31" s="147">
        <f>VLOOKUP($A$1,REM_ToolEnrico!$B$5:$J$38,6,FALSE)</f>
        <v>131962.83927712269</v>
      </c>
      <c r="K31" s="53">
        <v>0</v>
      </c>
      <c r="L31" s="48">
        <f t="shared" si="15"/>
        <v>131962.83927712269</v>
      </c>
      <c r="M31" s="147">
        <f>VLOOKUP($A$1,REM_ToolEnrico!$B$5:$J$38,8,FALSE)</f>
        <v>129881.32858607982</v>
      </c>
      <c r="N31" s="53">
        <v>0</v>
      </c>
      <c r="O31" s="48">
        <f t="shared" si="16"/>
        <v>129881.32858607982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190143.47025273598</v>
      </c>
      <c r="F32" s="48">
        <f t="shared" si="13"/>
        <v>190143.47025273598</v>
      </c>
      <c r="G32" s="54">
        <f>+G33+G34+G35+G36</f>
        <v>0</v>
      </c>
      <c r="H32" s="54">
        <f>+H33+H34+H35+H36</f>
        <v>189953.51673600002</v>
      </c>
      <c r="I32" s="48">
        <f t="shared" si="14"/>
        <v>189953.51673600002</v>
      </c>
      <c r="J32" s="54">
        <f>+J33+J34+J35+J36</f>
        <v>0</v>
      </c>
      <c r="K32" s="54">
        <f>+K33+K34+K35+K36</f>
        <v>201509.51673600002</v>
      </c>
      <c r="L32" s="48">
        <f t="shared" si="15"/>
        <v>201509.51673600002</v>
      </c>
      <c r="M32" s="54">
        <f>+M33+M34+M35+M36</f>
        <v>0</v>
      </c>
      <c r="N32" s="54">
        <f>+N33+N34+N35+N36</f>
        <v>201509.51673600002</v>
      </c>
      <c r="O32" s="48">
        <f t="shared" si="16"/>
        <v>201509.51673600002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190143.47025273598</v>
      </c>
      <c r="F34" s="48">
        <f>D34+E34</f>
        <v>190143.47025273598</v>
      </c>
      <c r="G34" s="47">
        <v>0</v>
      </c>
      <c r="H34" s="47">
        <v>189953.51673600002</v>
      </c>
      <c r="I34" s="48">
        <f>G34+H34</f>
        <v>189953.51673600002</v>
      </c>
      <c r="J34" s="47">
        <v>0</v>
      </c>
      <c r="K34" s="158">
        <v>201509.51673600002</v>
      </c>
      <c r="L34" s="48">
        <f t="shared" si="15"/>
        <v>201509.51673600002</v>
      </c>
      <c r="M34" s="47">
        <v>0</v>
      </c>
      <c r="N34" s="158">
        <v>201509.51673600002</v>
      </c>
      <c r="O34" s="48">
        <f t="shared" si="16"/>
        <v>201509.51673600002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61225.025020684494</v>
      </c>
      <c r="E37" s="47">
        <v>0</v>
      </c>
      <c r="F37" s="48">
        <f t="shared" si="13"/>
        <v>61225.025020684494</v>
      </c>
      <c r="G37" s="147">
        <f>VLOOKUP($A$1,REM_ToolEnrico!$B$5:$J$38,5,FALSE)</f>
        <v>61224.262407626346</v>
      </c>
      <c r="H37" s="47">
        <v>0</v>
      </c>
      <c r="I37" s="48">
        <f t="shared" si="17"/>
        <v>61224.262407626346</v>
      </c>
      <c r="J37" s="147">
        <f>VLOOKUP($A$1,REM_ToolEnrico!$B$5:$J$38,7,FALSE)</f>
        <v>63053.78717874155</v>
      </c>
      <c r="K37" s="47">
        <v>0</v>
      </c>
      <c r="L37" s="48">
        <f t="shared" si="15"/>
        <v>63053.78717874155</v>
      </c>
      <c r="M37" s="147">
        <f>VLOOKUP($A$1,REM_ToolEnrico!$B$5:$J$38,9,FALSE)</f>
        <v>62973.427280296666</v>
      </c>
      <c r="N37" s="47">
        <v>0</v>
      </c>
      <c r="O37" s="48">
        <f t="shared" si="16"/>
        <v>62973.427280296666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900.25896932094747</v>
      </c>
      <c r="E38" s="47">
        <v>0</v>
      </c>
      <c r="F38" s="48">
        <f t="shared" si="13"/>
        <v>900.25896932094747</v>
      </c>
      <c r="G38" s="47">
        <v>902.05948725958933</v>
      </c>
      <c r="H38" s="47">
        <v>0</v>
      </c>
      <c r="I38" s="48">
        <f t="shared" si="17"/>
        <v>902.05948725958933</v>
      </c>
      <c r="J38" s="47">
        <v>902.05948725958933</v>
      </c>
      <c r="K38" s="47">
        <v>0</v>
      </c>
      <c r="L38" s="48">
        <f t="shared" si="15"/>
        <v>902.05948725958933</v>
      </c>
      <c r="M38" s="47">
        <v>902.05948725958933</v>
      </c>
      <c r="N38" s="47">
        <v>0</v>
      </c>
      <c r="O38" s="48">
        <f t="shared" si="16"/>
        <v>902.05948725958933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211397.0639575567</v>
      </c>
      <c r="E40" s="51">
        <f>E38+E37+E32+E31+E39</f>
        <v>190143.47025273598</v>
      </c>
      <c r="F40" s="52">
        <f t="shared" si="13"/>
        <v>401540.53421029268</v>
      </c>
      <c r="G40" s="51">
        <f>G38+G37+G32+G31+G39</f>
        <v>187402.89622084895</v>
      </c>
      <c r="H40" s="51">
        <f>H38+H37+H32+H31+H39</f>
        <v>189953.51673600002</v>
      </c>
      <c r="I40" s="52">
        <f t="shared" si="17"/>
        <v>377356.41295684897</v>
      </c>
      <c r="J40" s="51">
        <f>J38+J37+J32+J31+J39</f>
        <v>195918.68594312383</v>
      </c>
      <c r="K40" s="51">
        <f>K38+K37+K32+K31+K39</f>
        <v>201509.51673600002</v>
      </c>
      <c r="L40" s="52">
        <f t="shared" si="15"/>
        <v>397428.20267912385</v>
      </c>
      <c r="M40" s="51">
        <f>M38+M37+M32+M31+M39</f>
        <v>193756.81535363608</v>
      </c>
      <c r="N40" s="51">
        <f>N38+N37+N32+N31+N39</f>
        <v>201509.51673600002</v>
      </c>
      <c r="O40" s="52">
        <f t="shared" si="16"/>
        <v>395266.33208963613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12932.120444946368</v>
      </c>
      <c r="E42" s="22">
        <v>0</v>
      </c>
      <c r="F42" s="36">
        <f t="shared" si="13"/>
        <v>12932.120444946368</v>
      </c>
      <c r="G42" s="22">
        <v>24367.275179223703</v>
      </c>
      <c r="H42" s="22">
        <v>0</v>
      </c>
      <c r="I42" s="36">
        <f t="shared" si="17"/>
        <v>24367.275179223703</v>
      </c>
      <c r="J42" s="22">
        <v>24367.275179223703</v>
      </c>
      <c r="K42" s="22">
        <v>0</v>
      </c>
      <c r="L42" s="36">
        <f t="shared" si="15"/>
        <v>24367.275179223703</v>
      </c>
      <c r="M42" s="22">
        <v>24367.275179223703</v>
      </c>
      <c r="N42" s="22">
        <v>0</v>
      </c>
      <c r="O42" s="36">
        <f t="shared" si="16"/>
        <v>24367.275179223703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0</v>
      </c>
      <c r="F44" s="36">
        <f t="shared" si="13"/>
        <v>0</v>
      </c>
      <c r="G44" s="181">
        <v>75525.095712298265</v>
      </c>
      <c r="H44" s="57">
        <v>0</v>
      </c>
      <c r="I44" s="36">
        <f t="shared" si="17"/>
        <v>75525.095712298265</v>
      </c>
      <c r="J44" s="57">
        <v>0</v>
      </c>
      <c r="K44" s="57">
        <v>-11556.293734094996</v>
      </c>
      <c r="L44" s="36">
        <f t="shared" si="15"/>
        <v>-11556.293734094996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83834.593010204961</v>
      </c>
      <c r="F45" s="36">
        <f>E45</f>
        <v>83834.593010204961</v>
      </c>
      <c r="G45" s="34"/>
      <c r="H45" s="22">
        <f>G47*0.1</f>
        <v>92527.859068427293</v>
      </c>
      <c r="I45" s="36">
        <f>H45</f>
        <v>92527.859068427293</v>
      </c>
      <c r="J45" s="34"/>
      <c r="K45" s="22">
        <f>J47*0.1</f>
        <v>85826.928469424965</v>
      </c>
      <c r="L45" s="36">
        <f>K45</f>
        <v>85826.928469424965</v>
      </c>
      <c r="M45" s="34"/>
      <c r="N45" s="22">
        <f>M47*0.1</f>
        <v>85610.741410476185</v>
      </c>
      <c r="O45" s="36">
        <f>N45</f>
        <v>85610.741410476185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838345.93010204949</v>
      </c>
      <c r="E47" s="59">
        <f>E25+E30+E40+E41+E42+E43+E44+E45</f>
        <v>350124.64084032096</v>
      </c>
      <c r="F47" s="60">
        <f>D47+E47</f>
        <v>1188470.5709423705</v>
      </c>
      <c r="G47" s="59">
        <f>G25+G30+G40+G41+G42+G43+G44+G46</f>
        <v>925278.59068427293</v>
      </c>
      <c r="H47" s="59">
        <f>H25+H30+H40+H41+H42+H43+H44+H45+H46</f>
        <v>358564.57318442728</v>
      </c>
      <c r="I47" s="60">
        <f>G47+H47</f>
        <v>1283843.1638687002</v>
      </c>
      <c r="J47" s="59">
        <f>J25+J30+J40+J41+J42+J43+J44+J46</f>
        <v>858269.28469424963</v>
      </c>
      <c r="K47" s="59">
        <f>K25+K30+K40+K41+K42+K43+K44+K45+K46</f>
        <v>351863.34885132994</v>
      </c>
      <c r="L47" s="60">
        <f>J47+K47</f>
        <v>1210132.6335455796</v>
      </c>
      <c r="M47" s="59">
        <f>M25+M30+M40+M41+M42+M43+M44+M46</f>
        <v>856107.41410476179</v>
      </c>
      <c r="N47" s="59">
        <f>N25+N30+N40+N41+N42+N43+N44+N45+N46</f>
        <v>363203.45552647614</v>
      </c>
      <c r="O47" s="60">
        <f>M47+N47</f>
        <v>1219310.8696312378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2473711.7831287105</v>
      </c>
      <c r="E49" s="65">
        <v>516860.13623318612</v>
      </c>
      <c r="F49" s="65">
        <f>D49+E49</f>
        <v>2990571.9193618968</v>
      </c>
      <c r="G49" s="65">
        <f>G50</f>
        <v>2538166.3439283003</v>
      </c>
      <c r="H49" s="65">
        <v>526156.77828369779</v>
      </c>
      <c r="I49" s="65">
        <f t="shared" ref="I49" si="21">G49+H49</f>
        <v>3064323.1222119983</v>
      </c>
      <c r="J49" s="65">
        <f>J50</f>
        <v>2503801.8019382767</v>
      </c>
      <c r="K49" s="65">
        <v>511797.05477473501</v>
      </c>
      <c r="L49" s="65">
        <f t="shared" ref="L49" si="22">J49+K49</f>
        <v>3015598.8567130119</v>
      </c>
      <c r="M49" s="65">
        <f>M50</f>
        <v>2468995.1673487891</v>
      </c>
      <c r="N49" s="65">
        <v>523353.34850883001</v>
      </c>
      <c r="O49" s="65">
        <f t="shared" ref="O49" si="23">M49+N49</f>
        <v>2992348.5158576192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2470749.3146594209</v>
      </c>
      <c r="E50" s="59">
        <f t="shared" si="24"/>
        <v>513364.97929605807</v>
      </c>
      <c r="F50" s="59">
        <f t="shared" si="24"/>
        <v>2984114.2939554788</v>
      </c>
      <c r="G50" s="59">
        <f>+G23+G47</f>
        <v>2538166.3439283003</v>
      </c>
      <c r="H50" s="59">
        <f t="shared" si="24"/>
        <v>519853.34850883001</v>
      </c>
      <c r="I50" s="59">
        <f t="shared" si="24"/>
        <v>3058019.69243713</v>
      </c>
      <c r="J50" s="59">
        <f t="shared" si="24"/>
        <v>2503801.8019382767</v>
      </c>
      <c r="K50" s="59">
        <f>+K23+K47</f>
        <v>516416.60057573265</v>
      </c>
      <c r="L50" s="59">
        <f t="shared" si="24"/>
        <v>3020218.4025140097</v>
      </c>
      <c r="M50" s="59">
        <f>+M23+M47</f>
        <v>2468995.1673487891</v>
      </c>
      <c r="N50" s="59">
        <f t="shared" si="24"/>
        <v>524492.23085087887</v>
      </c>
      <c r="O50" s="59">
        <f t="shared" si="24"/>
        <v>2993487.3981996677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84447.925659035565</v>
      </c>
      <c r="E51" s="68">
        <f>E44+E20</f>
        <v>0</v>
      </c>
      <c r="F51" s="146"/>
      <c r="G51" s="68">
        <f>G44+G20</f>
        <v>75525.095712298265</v>
      </c>
      <c r="H51" s="68">
        <f>H44+H20</f>
        <v>0</v>
      </c>
      <c r="I51" s="146"/>
      <c r="J51" s="68">
        <f>J44+J20</f>
        <v>32644.763999999996</v>
      </c>
      <c r="K51" s="68">
        <f>K44+K20</f>
        <v>-11556.293734094996</v>
      </c>
      <c r="L51" s="146"/>
      <c r="M51" s="68">
        <f>M44+M20</f>
        <v>0</v>
      </c>
      <c r="N51" s="68">
        <f>N44+N20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0.83650000000000013</v>
      </c>
      <c r="G53" s="72"/>
      <c r="H53" s="73"/>
      <c r="I53" s="74">
        <v>0.83650000000000013</v>
      </c>
      <c r="J53" s="72"/>
      <c r="K53" s="73"/>
      <c r="L53" s="74">
        <v>0.83650000000000013</v>
      </c>
      <c r="M53" s="72"/>
      <c r="N53" s="73"/>
      <c r="O53" s="74">
        <v>0.83650000000000013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11669.286</v>
      </c>
      <c r="G54" s="34"/>
      <c r="H54" s="76"/>
      <c r="I54" s="77">
        <v>11669.286</v>
      </c>
      <c r="J54" s="34"/>
      <c r="K54" s="76"/>
      <c r="L54" s="77">
        <v>11669.286</v>
      </c>
      <c r="M54" s="34"/>
      <c r="N54" s="76"/>
      <c r="O54" s="77">
        <v>11669.286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26.384169689523194</v>
      </c>
      <c r="G55" s="34"/>
      <c r="H55" s="76"/>
      <c r="I55" s="78">
        <v>24.674436013880236</v>
      </c>
      <c r="J55" s="34"/>
      <c r="K55" s="76"/>
      <c r="L55" s="78">
        <v>25.584631530810931</v>
      </c>
      <c r="M55" s="34"/>
      <c r="N55" s="76"/>
      <c r="O55" s="78">
        <v>26.448048085574101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30.161826134379357</v>
      </c>
      <c r="G56" s="81"/>
      <c r="H56" s="82"/>
      <c r="I56" s="78">
        <v>30.161826134379357</v>
      </c>
      <c r="J56" s="81"/>
      <c r="K56" s="82"/>
      <c r="L56" s="78">
        <v>30.161826134379357</v>
      </c>
      <c r="M56" s="81"/>
      <c r="N56" s="82"/>
      <c r="O56" s="78">
        <v>30.161826134379357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-0.19196562327514649</v>
      </c>
      <c r="G60" s="90"/>
      <c r="H60" s="76"/>
      <c r="I60" s="89">
        <v>-0.19196562327514649</v>
      </c>
      <c r="J60" s="34"/>
      <c r="K60" s="91"/>
      <c r="L60" s="89">
        <v>-0.19196562327514649</v>
      </c>
      <c r="M60" s="34"/>
      <c r="N60" s="76"/>
      <c r="O60" s="89">
        <v>-0.19196562327514649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-0.19196562327514649</v>
      </c>
      <c r="G61" s="90"/>
      <c r="H61" s="76"/>
      <c r="I61" s="92">
        <v>-0.19196562327514649</v>
      </c>
      <c r="J61" s="34"/>
      <c r="K61" s="76"/>
      <c r="L61" s="93">
        <v>-0.19196562327514649</v>
      </c>
      <c r="M61" s="34"/>
      <c r="N61" s="76"/>
      <c r="O61" s="92">
        <v>-0.19196562327514649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0.80803437672485345</v>
      </c>
      <c r="G62" s="95"/>
      <c r="H62" s="82"/>
      <c r="I62" s="94">
        <v>0.80803437672485345</v>
      </c>
      <c r="J62" s="81"/>
      <c r="K62" s="82"/>
      <c r="L62" s="94">
        <v>0.80803437672485345</v>
      </c>
      <c r="M62" s="81"/>
      <c r="N62" s="82"/>
      <c r="O62" s="94">
        <v>0.80803437672485345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1.00000001E-3</v>
      </c>
      <c r="G66" s="34"/>
      <c r="H66" s="76"/>
      <c r="I66" s="104">
        <v>1.00000001E-3</v>
      </c>
      <c r="J66" s="34"/>
      <c r="K66" s="76"/>
      <c r="L66" s="104">
        <v>1.00000001E-3</v>
      </c>
      <c r="M66" s="34"/>
      <c r="N66" s="76"/>
      <c r="O66" s="104">
        <v>1.00000001E-3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6.5999999990000002E-2</v>
      </c>
      <c r="G70" s="34"/>
      <c r="H70" s="76"/>
      <c r="I70" s="105">
        <v>6.5999999990000002E-2</v>
      </c>
      <c r="J70" s="34"/>
      <c r="K70" s="76"/>
      <c r="L70" s="105">
        <v>6.5999999990000002E-2</v>
      </c>
      <c r="M70" s="34"/>
      <c r="N70" s="76"/>
      <c r="O70" s="105">
        <v>6.5999999990000002E-2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1.0659999999900001</v>
      </c>
      <c r="G71" s="34"/>
      <c r="H71" s="76"/>
      <c r="I71" s="106">
        <v>1.0659999999900001</v>
      </c>
      <c r="J71" s="34"/>
      <c r="K71" s="76"/>
      <c r="L71" s="106">
        <v>1.0659999999900001</v>
      </c>
      <c r="M71" s="34"/>
      <c r="N71" s="76"/>
      <c r="O71" s="106">
        <v>1.0659999999900001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2984114.2939554788</v>
      </c>
      <c r="G72" s="34"/>
      <c r="H72" s="76"/>
      <c r="I72" s="108">
        <f>I50</f>
        <v>3058019.69243713</v>
      </c>
      <c r="J72" s="34"/>
      <c r="K72" s="76"/>
      <c r="L72" s="108">
        <f>L50</f>
        <v>3020218.4025140097</v>
      </c>
      <c r="M72" s="34"/>
      <c r="N72" s="76"/>
      <c r="O72" s="108">
        <f>O50</f>
        <v>2993487.3981996677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1849125.6896117125</v>
      </c>
      <c r="G73" s="34"/>
      <c r="H73" s="76"/>
      <c r="I73" s="110">
        <f>F81</f>
        <v>1795643.7230131084</v>
      </c>
      <c r="J73" s="34"/>
      <c r="K73" s="76"/>
      <c r="L73" s="110">
        <f>I81</f>
        <v>1774176.5285684299</v>
      </c>
      <c r="M73" s="34"/>
      <c r="N73" s="76"/>
      <c r="O73" s="110">
        <f>L81</f>
        <v>1810085.7689684299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1030204.8177349716</v>
      </c>
      <c r="G74" s="34"/>
      <c r="H74" s="76"/>
      <c r="I74" s="110">
        <f>F82</f>
        <v>1188470.5709423707</v>
      </c>
      <c r="J74" s="34"/>
      <c r="K74" s="76"/>
      <c r="L74" s="110">
        <f>I82</f>
        <v>1283843.1638687004</v>
      </c>
      <c r="M74" s="34"/>
      <c r="N74" s="76"/>
      <c r="O74" s="110">
        <f>L82</f>
        <v>1210132.6335455794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2879330.5073466841</v>
      </c>
      <c r="G75" s="34"/>
      <c r="H75" s="76"/>
      <c r="I75" s="111">
        <f>SUM(I73:I74)</f>
        <v>2984114.2939554788</v>
      </c>
      <c r="J75" s="34"/>
      <c r="K75" s="76"/>
      <c r="L75" s="111">
        <f>SUM(L73:L74)</f>
        <v>3058019.69243713</v>
      </c>
      <c r="M75" s="34"/>
      <c r="N75" s="76"/>
      <c r="O75" s="111">
        <f>SUM(O73:O74)</f>
        <v>3020218.4025140093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1.0363917189573884</v>
      </c>
      <c r="G76" s="81"/>
      <c r="H76" s="82"/>
      <c r="I76" s="112">
        <f>I72/I75</f>
        <v>1.0247662760877998</v>
      </c>
      <c r="J76" s="81"/>
      <c r="K76" s="82"/>
      <c r="L76" s="112">
        <f>L72/L75</f>
        <v>0.98763863750890568</v>
      </c>
      <c r="M76" s="81"/>
      <c r="N76" s="82"/>
      <c r="O76" s="112">
        <f>O72/O75</f>
        <v>0.99114931413831164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2984114.2939554788</v>
      </c>
      <c r="G78" s="73"/>
      <c r="H78" s="73"/>
      <c r="I78" s="115">
        <f>IF(I72&lt;=I75*I71,I72,I75*I71)</f>
        <v>3058019.69243713</v>
      </c>
      <c r="J78" s="73"/>
      <c r="K78" s="73"/>
      <c r="L78" s="115">
        <f>IF(L72&lt;=L75*L71,L72,L75*L71)</f>
        <v>3020218.4025140097</v>
      </c>
      <c r="M78" s="73"/>
      <c r="N78" s="73"/>
      <c r="O78" s="115">
        <f>IF(O72&lt;=O75*O71,O72,O75*O71)</f>
        <v>2993487.3981996677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1632403.3845573713</v>
      </c>
      <c r="E81" s="120">
        <f>E23</f>
        <v>163240.33845573713</v>
      </c>
      <c r="F81" s="115">
        <f>D81+E81</f>
        <v>1795643.7230131084</v>
      </c>
      <c r="G81" s="119">
        <f>G23-I79</f>
        <v>1612887.7532440273</v>
      </c>
      <c r="H81" s="120">
        <f>H23</f>
        <v>161288.77532440273</v>
      </c>
      <c r="I81" s="115">
        <f>G81+H81</f>
        <v>1774176.5285684299</v>
      </c>
      <c r="J81" s="119">
        <f>J23-L79</f>
        <v>1645532.5172440272</v>
      </c>
      <c r="K81" s="120">
        <f>K23</f>
        <v>164553.25172440274</v>
      </c>
      <c r="L81" s="115">
        <f>J81+K81</f>
        <v>1810085.7689684299</v>
      </c>
      <c r="M81" s="119">
        <f>M23-O79</f>
        <v>1612887.7532440273</v>
      </c>
      <c r="N81" s="120">
        <f>N23</f>
        <v>161288.77532440273</v>
      </c>
      <c r="O81" s="115">
        <f>M81+N81</f>
        <v>1774176.5285684299</v>
      </c>
    </row>
    <row r="82" spans="1:52" s="14" customFormat="1" ht="20" customHeight="1" thickBot="1">
      <c r="B82" s="118" t="s">
        <v>72</v>
      </c>
      <c r="D82" s="121">
        <f>D50-D81-F79</f>
        <v>838345.93010204961</v>
      </c>
      <c r="E82" s="122">
        <f>E50-E81</f>
        <v>350124.64084032096</v>
      </c>
      <c r="F82" s="123">
        <f>D82+E82</f>
        <v>1188470.5709423707</v>
      </c>
      <c r="G82" s="121">
        <f>G49-G81-I79</f>
        <v>925278.59068427305</v>
      </c>
      <c r="H82" s="122">
        <f>H50-H81</f>
        <v>358564.57318442728</v>
      </c>
      <c r="I82" s="123">
        <f>G82+H82</f>
        <v>1283843.1638687004</v>
      </c>
      <c r="J82" s="121">
        <f>J50-J81-L79</f>
        <v>858269.28469424951</v>
      </c>
      <c r="K82" s="122">
        <f>K50-K81</f>
        <v>351863.34885132988</v>
      </c>
      <c r="L82" s="123">
        <f>J82+K82</f>
        <v>1210132.6335455794</v>
      </c>
      <c r="M82" s="121">
        <f>M49-M81-O79</f>
        <v>856107.41410476179</v>
      </c>
      <c r="N82" s="122">
        <f>N50-N81</f>
        <v>363203.45552647614</v>
      </c>
      <c r="O82" s="123">
        <f>M82+N82</f>
        <v>1219310.8696312378</v>
      </c>
    </row>
    <row r="83" spans="1:52" s="124" customFormat="1" ht="17.25" customHeight="1" thickBot="1">
      <c r="B83" s="125" t="s">
        <v>73</v>
      </c>
      <c r="C83" s="14"/>
      <c r="D83" s="126">
        <f>SUM(D81:D82)</f>
        <v>2470749.3146594209</v>
      </c>
      <c r="E83" s="127">
        <f t="shared" ref="E83:O83" si="25">SUM(E81:E82)</f>
        <v>513364.97929605807</v>
      </c>
      <c r="F83" s="128">
        <f t="shared" si="25"/>
        <v>2984114.2939554788</v>
      </c>
      <c r="G83" s="126">
        <f t="shared" si="25"/>
        <v>2538166.3439283003</v>
      </c>
      <c r="H83" s="127">
        <f t="shared" si="25"/>
        <v>519853.34850883001</v>
      </c>
      <c r="I83" s="128">
        <f t="shared" si="25"/>
        <v>3058019.69243713</v>
      </c>
      <c r="J83" s="126">
        <f t="shared" si="25"/>
        <v>2503801.8019382767</v>
      </c>
      <c r="K83" s="127">
        <f t="shared" si="25"/>
        <v>516416.60057573265</v>
      </c>
      <c r="L83" s="128">
        <f t="shared" si="25"/>
        <v>3020218.4025140093</v>
      </c>
      <c r="M83" s="126">
        <f t="shared" si="25"/>
        <v>2468995.1673487891</v>
      </c>
      <c r="N83" s="127">
        <f t="shared" si="25"/>
        <v>524492.23085087887</v>
      </c>
      <c r="O83" s="128">
        <f t="shared" si="25"/>
        <v>2993487.3981996677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1795643.7230131084</v>
      </c>
      <c r="G88" s="72"/>
      <c r="H88" s="73"/>
      <c r="I88" s="136">
        <f>I81-I85</f>
        <v>1774176.5285684299</v>
      </c>
      <c r="J88" s="72"/>
      <c r="K88" s="73"/>
      <c r="L88" s="136">
        <f>L81-L85</f>
        <v>1810085.7689684299</v>
      </c>
      <c r="M88" s="72"/>
      <c r="N88" s="73"/>
      <c r="O88" s="136">
        <f>O81-O85</f>
        <v>1774176.5285684299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1188470.5709423707</v>
      </c>
      <c r="G89" s="34"/>
      <c r="H89" s="76"/>
      <c r="I89" s="138">
        <f>I82-I86</f>
        <v>1283843.1638687004</v>
      </c>
      <c r="J89" s="34"/>
      <c r="K89" s="76"/>
      <c r="L89" s="138">
        <f>L82-L86</f>
        <v>1210132.6335455794</v>
      </c>
      <c r="M89" s="34"/>
      <c r="N89" s="76"/>
      <c r="O89" s="138">
        <f>O82-O86</f>
        <v>1219310.8696312378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2984114.2939554788</v>
      </c>
      <c r="G90" s="81"/>
      <c r="H90" s="82"/>
      <c r="I90" s="139">
        <f>+I88+I89</f>
        <v>3058019.69243713</v>
      </c>
      <c r="J90" s="81"/>
      <c r="K90" s="82"/>
      <c r="L90" s="139">
        <f>+L88+L89</f>
        <v>3020218.4025140093</v>
      </c>
      <c r="M90" s="81"/>
      <c r="N90" s="82"/>
      <c r="O90" s="139">
        <f>+O88+O89</f>
        <v>2993487.3981996677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-851.62604117946466</v>
      </c>
      <c r="E92" s="143">
        <v>0</v>
      </c>
      <c r="F92" s="144">
        <f>D92+E92</f>
        <v>-851.62604117946466</v>
      </c>
      <c r="G92" s="142">
        <v>-40372.072509245416</v>
      </c>
      <c r="H92" s="143">
        <v>0</v>
      </c>
      <c r="I92" s="144">
        <f>G92+H92</f>
        <v>-40372.072509245416</v>
      </c>
      <c r="J92" s="142">
        <v>-40372.072509245416</v>
      </c>
      <c r="K92" s="143">
        <v>0</v>
      </c>
      <c r="L92" s="144">
        <f>J92+K92</f>
        <v>-40372.072509245416</v>
      </c>
      <c r="M92" s="142">
        <v>-40372.072509245416</v>
      </c>
      <c r="N92" s="143">
        <v>0</v>
      </c>
      <c r="O92" s="144">
        <f>M92+N92</f>
        <v>-40372.072509245416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2511012.9112929255</v>
      </c>
      <c r="E96" s="166">
        <f>E6+E7+E8+E9+E11+E25+E30+E40+E42+E21+E45</f>
        <v>513364.97929605807</v>
      </c>
      <c r="F96" s="166">
        <f t="shared" ref="F96" si="26">F6+F7+F8+F9+F11+F25+F30+F40+F42</f>
        <v>2777302.9591230415</v>
      </c>
      <c r="G96" s="166">
        <f t="shared" ref="G96" si="27">G6+G7+G8+G9+G11+G25+G30+G40+G42+G21+G45</f>
        <v>2587228.1835731855</v>
      </c>
      <c r="H96" s="166">
        <f t="shared" ref="H96" si="28">H6+H7+H8+H9+H11+H25+H30+H40+H42</f>
        <v>266036.71411599999</v>
      </c>
      <c r="I96" s="166">
        <f t="shared" ref="I96" si="29">I6+I7+I8+I9+I11+I25+I30+I40+I42+I21+I45</f>
        <v>3107081.5320820156</v>
      </c>
      <c r="J96" s="166">
        <f t="shared" ref="J96" si="30">J6+J7+J8+J9+J11+J25+J30+J40+J42</f>
        <v>2595743.9732954605</v>
      </c>
      <c r="K96" s="166">
        <f t="shared" ref="K96" si="31">K6+K7+K8+K9+K11+K25+K30+K40+K42+K21+K45</f>
        <v>527972.89430982771</v>
      </c>
      <c r="L96" s="166">
        <f t="shared" ref="L96" si="32">L6+L7+L8+L9+L11+L25+L30+L40+L42</f>
        <v>2873336.6874114601</v>
      </c>
      <c r="M96" s="166">
        <f t="shared" ref="M96" si="33">M6+M7+M8+M9+M11+M25+M30+M40+M42+M21+M45</f>
        <v>2593582.1027059727</v>
      </c>
      <c r="N96" s="166">
        <f t="shared" ref="N96" si="34">N6+N7+N8+N9+N11+N25+N30+N40+N42</f>
        <v>277592.71411599999</v>
      </c>
      <c r="O96" s="166">
        <f t="shared" ref="O96" si="35">O6+O7+O8+O9+O11+O25+O30+O40+O42+O21+O45</f>
        <v>3118074.3335568514</v>
      </c>
    </row>
    <row r="97" spans="4:15" s="14" customFormat="1">
      <c r="D97" s="166">
        <f>D96-D15-D19</f>
        <v>2386301.3890003851</v>
      </c>
      <c r="E97" s="166">
        <f>E96-E15-E19</f>
        <v>513364.97929605807</v>
      </c>
      <c r="F97" s="166">
        <f t="shared" ref="F97:O97" si="36">F96-F15-F19</f>
        <v>2652591.4368305011</v>
      </c>
      <c r="G97" s="166">
        <f t="shared" si="36"/>
        <v>2462641.2482160022</v>
      </c>
      <c r="H97" s="166">
        <f t="shared" si="36"/>
        <v>266036.71411599999</v>
      </c>
      <c r="I97" s="166">
        <f t="shared" si="36"/>
        <v>2982494.5967248324</v>
      </c>
      <c r="J97" s="166">
        <f t="shared" si="36"/>
        <v>2471157.0379382772</v>
      </c>
      <c r="K97" s="166">
        <f t="shared" si="36"/>
        <v>527972.89430982771</v>
      </c>
      <c r="L97" s="166">
        <f t="shared" si="36"/>
        <v>2748749.7520542769</v>
      </c>
      <c r="M97" s="166">
        <f t="shared" si="36"/>
        <v>2468995.1673487895</v>
      </c>
      <c r="N97" s="166">
        <f t="shared" si="36"/>
        <v>277592.71411599999</v>
      </c>
      <c r="O97" s="166">
        <f t="shared" si="36"/>
        <v>2993487.3981996682</v>
      </c>
    </row>
    <row r="98" spans="4:15" s="14" customFormat="1">
      <c r="D98" s="166">
        <f>D20+D44</f>
        <v>84447.925659035565</v>
      </c>
      <c r="E98" s="166">
        <f>E20+E44</f>
        <v>0</v>
      </c>
      <c r="F98" s="166">
        <f t="shared" ref="F98:O98" si="37">F20+F44</f>
        <v>84447.925659035565</v>
      </c>
      <c r="G98" s="166">
        <f t="shared" si="37"/>
        <v>75525.095712298265</v>
      </c>
      <c r="H98" s="166">
        <f t="shared" si="37"/>
        <v>0</v>
      </c>
      <c r="I98" s="166">
        <f t="shared" si="37"/>
        <v>75525.095712298265</v>
      </c>
      <c r="J98" s="166">
        <f t="shared" si="37"/>
        <v>32644.763999999996</v>
      </c>
      <c r="K98" s="166">
        <f t="shared" si="37"/>
        <v>-11556.293734094996</v>
      </c>
      <c r="L98" s="166">
        <f t="shared" si="37"/>
        <v>21088.470265905002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45" priority="7" operator="containsText" text="ERRORE">
      <formula>NOT(ISERROR(SEARCH("ERRORE",F81)))</formula>
    </cfRule>
  </conditionalFormatting>
  <conditionalFormatting sqref="I83">
    <cfRule type="containsText" dxfId="144" priority="6" operator="containsText" text="ERRORE">
      <formula>NOT(ISERROR(SEARCH("ERRORE",I83)))</formula>
    </cfRule>
  </conditionalFormatting>
  <conditionalFormatting sqref="I81:I82">
    <cfRule type="containsText" dxfId="143" priority="5" operator="containsText" text="ERRORE">
      <formula>NOT(ISERROR(SEARCH("ERRORE",I81)))</formula>
    </cfRule>
  </conditionalFormatting>
  <conditionalFormatting sqref="L83">
    <cfRule type="containsText" dxfId="142" priority="4" operator="containsText" text="ERRORE">
      <formula>NOT(ISERROR(SEARCH("ERRORE",L83)))</formula>
    </cfRule>
  </conditionalFormatting>
  <conditionalFormatting sqref="L81:L82">
    <cfRule type="containsText" dxfId="141" priority="3" operator="containsText" text="ERRORE">
      <formula>NOT(ISERROR(SEARCH("ERRORE",L81)))</formula>
    </cfRule>
  </conditionalFormatting>
  <conditionalFormatting sqref="O83">
    <cfRule type="containsText" dxfId="140" priority="2" operator="containsText" text="ERRORE">
      <formula>NOT(ISERROR(SEARCH("ERRORE",O83)))</formula>
    </cfRule>
  </conditionalFormatting>
  <conditionalFormatting sqref="O81:O82">
    <cfRule type="containsText" dxfId="139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E77" zoomScale="70" zoomScaleNormal="70" zoomScalePageLayoutView="70" workbookViewId="0">
      <selection activeCell="O89" sqref="O89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98</v>
      </c>
      <c r="B1" s="2" t="str">
        <f>"       PEF 2022 - 2025"&amp;" - "&amp;A1</f>
        <v xml:space="preserve">       PEF 2022 - 2025 - Meolo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148</v>
      </c>
      <c r="E4" s="188"/>
      <c r="F4" s="189"/>
      <c r="G4" s="187" t="str">
        <f>D4</f>
        <v>Ambito tariffario: MEOLO</v>
      </c>
      <c r="H4" s="188"/>
      <c r="I4" s="189"/>
      <c r="J4" s="187" t="str">
        <f>D4</f>
        <v>Ambito tariffario: MEOLO</v>
      </c>
      <c r="K4" s="188"/>
      <c r="L4" s="189"/>
      <c r="M4" s="187" t="str">
        <f>D4</f>
        <v>Ambito tariffario: MEOLO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98334.337316482488</v>
      </c>
      <c r="E6" s="22">
        <v>0</v>
      </c>
      <c r="F6" s="23">
        <f>D6+E6</f>
        <v>98334.337316482488</v>
      </c>
      <c r="G6" s="22">
        <v>101722.32897306919</v>
      </c>
      <c r="H6" s="22">
        <v>0</v>
      </c>
      <c r="I6" s="23">
        <f>G6+H6</f>
        <v>101722.32897306919</v>
      </c>
      <c r="J6" s="22">
        <v>101722.32897306919</v>
      </c>
      <c r="K6" s="22">
        <v>0</v>
      </c>
      <c r="L6" s="23">
        <f>J6+K6</f>
        <v>101722.32897306919</v>
      </c>
      <c r="M6" s="22">
        <v>101722.32897306919</v>
      </c>
      <c r="N6" s="22">
        <v>0</v>
      </c>
      <c r="O6" s="23">
        <f>M6+N6</f>
        <v>101722.32897306919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68510.380870209308</v>
      </c>
      <c r="E7" s="22">
        <v>0</v>
      </c>
      <c r="F7" s="23">
        <f t="shared" ref="F7:F20" si="0">D7+E7</f>
        <v>68510.380870209308</v>
      </c>
      <c r="G7" s="22">
        <v>71715.398730930086</v>
      </c>
      <c r="H7" s="22">
        <v>0</v>
      </c>
      <c r="I7" s="23">
        <f t="shared" ref="I7:I13" si="1">G7+H7</f>
        <v>71715.398730930086</v>
      </c>
      <c r="J7" s="22">
        <v>71715.398730930086</v>
      </c>
      <c r="K7" s="22">
        <v>0</v>
      </c>
      <c r="L7" s="23">
        <f t="shared" ref="L7:L12" si="2">J7+K7</f>
        <v>71715.398730930086</v>
      </c>
      <c r="M7" s="22">
        <v>71715.398730930086</v>
      </c>
      <c r="N7" s="22">
        <v>0</v>
      </c>
      <c r="O7" s="23">
        <f t="shared" ref="O7:O13" si="3">M7+N7</f>
        <v>71715.398730930086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119827.27423154554</v>
      </c>
      <c r="E8" s="22">
        <v>0</v>
      </c>
      <c r="F8" s="23">
        <f t="shared" si="0"/>
        <v>119827.27423154554</v>
      </c>
      <c r="G8" s="22">
        <v>125435.91164826947</v>
      </c>
      <c r="H8" s="22">
        <v>0</v>
      </c>
      <c r="I8" s="23">
        <f t="shared" si="1"/>
        <v>125435.91164826947</v>
      </c>
      <c r="J8" s="22">
        <v>125435.91164826947</v>
      </c>
      <c r="K8" s="22">
        <v>0</v>
      </c>
      <c r="L8" s="23">
        <f t="shared" si="2"/>
        <v>125435.91164826947</v>
      </c>
      <c r="M8" s="22">
        <v>125435.91164826947</v>
      </c>
      <c r="N8" s="22">
        <v>0</v>
      </c>
      <c r="O8" s="23">
        <f t="shared" si="3"/>
        <v>125435.91164826947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222973.26569737462</v>
      </c>
      <c r="E9" s="22">
        <v>0</v>
      </c>
      <c r="F9" s="23">
        <f t="shared" si="0"/>
        <v>222973.26569737462</v>
      </c>
      <c r="G9" s="22">
        <v>229270.87786161064</v>
      </c>
      <c r="H9" s="22">
        <v>0</v>
      </c>
      <c r="I9" s="23">
        <f t="shared" si="1"/>
        <v>229270.87786161064</v>
      </c>
      <c r="J9" s="22">
        <v>229270.87786161064</v>
      </c>
      <c r="K9" s="22">
        <v>0</v>
      </c>
      <c r="L9" s="23">
        <f t="shared" si="2"/>
        <v>229270.87786161064</v>
      </c>
      <c r="M9" s="22">
        <v>229270.87786161064</v>
      </c>
      <c r="N9" s="22">
        <v>0</v>
      </c>
      <c r="O9" s="23">
        <f t="shared" si="3"/>
        <v>229270.87786161064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2570.4588044031325</v>
      </c>
      <c r="E11" s="22">
        <v>0</v>
      </c>
      <c r="F11" s="23">
        <f t="shared" si="0"/>
        <v>2570.4588044031325</v>
      </c>
      <c r="G11" s="22">
        <v>2570.4588044031325</v>
      </c>
      <c r="H11" s="22">
        <v>0</v>
      </c>
      <c r="I11" s="23">
        <f t="shared" si="1"/>
        <v>2570.4588044031325</v>
      </c>
      <c r="J11" s="22">
        <v>2570.4588044031325</v>
      </c>
      <c r="K11" s="22">
        <v>0</v>
      </c>
      <c r="L11" s="23">
        <f t="shared" si="2"/>
        <v>2570.4588044031325</v>
      </c>
      <c r="M11" s="22">
        <v>2570.4588044031325</v>
      </c>
      <c r="N11" s="22">
        <v>0</v>
      </c>
      <c r="O11" s="23">
        <f t="shared" si="3"/>
        <v>2570.4588044031325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71787.441273553399</v>
      </c>
      <c r="E13" s="22">
        <v>0</v>
      </c>
      <c r="F13" s="23">
        <f t="shared" si="0"/>
        <v>71787.441273553399</v>
      </c>
      <c r="G13" s="22">
        <v>71715.725548005415</v>
      </c>
      <c r="H13" s="22">
        <v>0</v>
      </c>
      <c r="I13" s="23">
        <f t="shared" si="1"/>
        <v>71715.725548005415</v>
      </c>
      <c r="J13" s="22">
        <v>71715.725548005415</v>
      </c>
      <c r="K13" s="22">
        <v>0</v>
      </c>
      <c r="L13" s="23">
        <f>J13+K13</f>
        <v>71715.725548005415</v>
      </c>
      <c r="M13" s="22">
        <v>71715.725548005415</v>
      </c>
      <c r="N13" s="22">
        <v>0</v>
      </c>
      <c r="O13" s="23">
        <f t="shared" si="3"/>
        <v>71715.725548005415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43072.464764132041</v>
      </c>
      <c r="E15" s="22">
        <v>0</v>
      </c>
      <c r="F15" s="23">
        <f t="shared" si="0"/>
        <v>43072.464764132041</v>
      </c>
      <c r="G15" s="22">
        <v>43029.435328803251</v>
      </c>
      <c r="H15" s="22">
        <v>0</v>
      </c>
      <c r="I15" s="23">
        <f t="shared" ref="I15:I16" si="4">G15+H15</f>
        <v>43029.435328803251</v>
      </c>
      <c r="J15" s="22">
        <v>43029.435328803251</v>
      </c>
      <c r="K15" s="22">
        <v>0</v>
      </c>
      <c r="L15" s="23">
        <f t="shared" ref="L15:L16" si="5">J15+K15</f>
        <v>43029.435328803251</v>
      </c>
      <c r="M15" s="22">
        <v>43029.435328803251</v>
      </c>
      <c r="N15" s="22">
        <v>0</v>
      </c>
      <c r="O15" s="23">
        <f t="shared" ref="O15:O16" si="6">M15+N15</f>
        <v>43029.435328803251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2128.2096971651517</v>
      </c>
      <c r="E16" s="22">
        <v>0</v>
      </c>
      <c r="F16" s="23">
        <f t="shared" si="0"/>
        <v>2128.2096971651517</v>
      </c>
      <c r="G16" s="22">
        <v>2126.0836135516001</v>
      </c>
      <c r="H16" s="22">
        <v>0</v>
      </c>
      <c r="I16" s="23">
        <f t="shared" si="4"/>
        <v>2126.0836135516001</v>
      </c>
      <c r="J16" s="22">
        <v>2126.0836135516001</v>
      </c>
      <c r="K16" s="22">
        <v>0</v>
      </c>
      <c r="L16" s="23">
        <f t="shared" si="5"/>
        <v>2126.0836135516001</v>
      </c>
      <c r="M16" s="22">
        <v>2126.0836135516001</v>
      </c>
      <c r="N16" s="22">
        <v>0</v>
      </c>
      <c r="O16" s="23">
        <f t="shared" si="6"/>
        <v>2126.0836135516001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1404.6184001290003</v>
      </c>
      <c r="E19" s="22">
        <v>0</v>
      </c>
      <c r="F19" s="23">
        <f t="shared" si="0"/>
        <v>1404.6184001290003</v>
      </c>
      <c r="G19" s="22">
        <v>1403.2151849440561</v>
      </c>
      <c r="H19" s="22">
        <v>0</v>
      </c>
      <c r="I19" s="23">
        <f t="shared" ref="I19:I20" si="7">G19+H19</f>
        <v>1403.2151849440561</v>
      </c>
      <c r="J19" s="22">
        <v>1403.2151849440561</v>
      </c>
      <c r="K19" s="22">
        <v>0</v>
      </c>
      <c r="L19" s="23">
        <f t="shared" ref="L19:L20" si="8">J19+K19</f>
        <v>1403.2151849440561</v>
      </c>
      <c r="M19" s="32">
        <v>1403.2151849440561</v>
      </c>
      <c r="N19" s="33">
        <v>0</v>
      </c>
      <c r="O19" s="23">
        <f t="shared" ref="O19:O20" si="9">M19+N19</f>
        <v>1403.2151849440561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22">
        <v>0</v>
      </c>
      <c r="F20" s="23">
        <f t="shared" si="0"/>
        <v>0</v>
      </c>
      <c r="G20" s="22">
        <v>105960.57298639967</v>
      </c>
      <c r="H20" s="22">
        <v>0</v>
      </c>
      <c r="I20" s="23">
        <f t="shared" si="7"/>
        <v>105960.57298639967</v>
      </c>
      <c r="J20" s="22">
        <v>10057.65525</v>
      </c>
      <c r="K20" s="22">
        <v>0</v>
      </c>
      <c r="L20" s="23">
        <f t="shared" si="8"/>
        <v>10057.65525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/>
      <c r="F21" s="23">
        <f>E21</f>
        <v>0</v>
      </c>
      <c r="G21" s="34"/>
      <c r="H21" s="22"/>
      <c r="I21" s="23">
        <f>H21</f>
        <v>0</v>
      </c>
      <c r="J21" s="34"/>
      <c r="K21" s="22"/>
      <c r="L21" s="23">
        <f>K21</f>
        <v>0</v>
      </c>
      <c r="M21" s="34"/>
      <c r="N21" s="22"/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>
        <v>34641</v>
      </c>
      <c r="K22" s="22">
        <v>0</v>
      </c>
      <c r="L22" s="36">
        <f t="shared" ref="L22" si="11">J22+K22</f>
        <v>34641</v>
      </c>
      <c r="M22" s="22">
        <v>103523</v>
      </c>
      <c r="N22" s="22">
        <v>0</v>
      </c>
      <c r="O22" s="36">
        <f t="shared" ref="O22" si="12">M22+N22</f>
        <v>103523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467738.63375575404</v>
      </c>
      <c r="E23" s="38">
        <f>E6+E7+E8+E9+E10+E11+E12-E15-E19+E20+E21</f>
        <v>0</v>
      </c>
      <c r="F23" s="38">
        <f>D23+E23</f>
        <v>467738.63375575404</v>
      </c>
      <c r="G23" s="38">
        <f>G6+G7+G8+G9+G10+G11+G12-G15-G19+G20+G22</f>
        <v>592242.89849093487</v>
      </c>
      <c r="H23" s="38">
        <f>H6+H7+H8+H9+H10+H11+H12-H15-H19+H20+H21+H22</f>
        <v>0</v>
      </c>
      <c r="I23" s="38">
        <f>G23+H23</f>
        <v>592242.89849093487</v>
      </c>
      <c r="J23" s="38">
        <f>J6+J7+J8+J9+J10+J11+J12-J15-J19+J20+J22</f>
        <v>530980.98075453518</v>
      </c>
      <c r="K23" s="38">
        <f>K6+K7+K8+K9+K10+K11+K12-K15-K19+K20+K21+K22</f>
        <v>0</v>
      </c>
      <c r="L23" s="38">
        <f>J23+K23</f>
        <v>530980.98075453518</v>
      </c>
      <c r="M23" s="38">
        <f>M6+M7+M8+M9+M10+M11+M12-M15-M19+M20+M22</f>
        <v>589805.32550453511</v>
      </c>
      <c r="N23" s="38">
        <f>N6+N7+N8+N9+N10+N11+N12-N15-N19+N20+N21+N22</f>
        <v>0</v>
      </c>
      <c r="O23" s="38">
        <f>M23+N23</f>
        <v>589805.32550453511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116628.34015938541</v>
      </c>
      <c r="E25" s="44">
        <v>0</v>
      </c>
      <c r="F25" s="45">
        <f t="shared" ref="F25:F44" si="13">D25+E25</f>
        <v>116628.34015938541</v>
      </c>
      <c r="G25" s="44">
        <v>121906.58924333309</v>
      </c>
      <c r="H25" s="44">
        <v>0</v>
      </c>
      <c r="I25" s="45">
        <f t="shared" ref="I25:I33" si="14">G25+H25</f>
        <v>121906.58924333309</v>
      </c>
      <c r="J25" s="44">
        <v>121906.58924333309</v>
      </c>
      <c r="K25" s="44">
        <v>0</v>
      </c>
      <c r="L25" s="45">
        <f t="shared" ref="L25:L44" si="15">J25+K25</f>
        <v>121906.58924333309</v>
      </c>
      <c r="M25" s="44">
        <v>121906.58924333309</v>
      </c>
      <c r="N25" s="44">
        <v>0</v>
      </c>
      <c r="O25" s="45">
        <f t="shared" ref="O25:O43" si="16">M25+N25</f>
        <v>121906.58924333309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28844.858614814137</v>
      </c>
      <c r="E26" s="22">
        <v>0</v>
      </c>
      <c r="F26" s="36">
        <f t="shared" si="13"/>
        <v>28844.858614814137</v>
      </c>
      <c r="G26" s="22">
        <v>29689.84589262279</v>
      </c>
      <c r="H26" s="22">
        <v>0</v>
      </c>
      <c r="I26" s="36">
        <f t="shared" si="14"/>
        <v>29689.84589262279</v>
      </c>
      <c r="J26" s="22">
        <v>29689.84589262279</v>
      </c>
      <c r="K26" s="22">
        <v>0</v>
      </c>
      <c r="L26" s="36">
        <f t="shared" si="15"/>
        <v>29689.84589262279</v>
      </c>
      <c r="M26" s="22">
        <v>29689.84589262279</v>
      </c>
      <c r="N26" s="22">
        <v>0</v>
      </c>
      <c r="O26" s="36">
        <f t="shared" si="16"/>
        <v>29689.84589262279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75726.253550352892</v>
      </c>
      <c r="E27" s="47">
        <v>0</v>
      </c>
      <c r="F27" s="48">
        <f t="shared" si="13"/>
        <v>75726.253550352892</v>
      </c>
      <c r="G27" s="47">
        <v>78642.197911614843</v>
      </c>
      <c r="H27" s="47">
        <v>0</v>
      </c>
      <c r="I27" s="48">
        <f t="shared" si="14"/>
        <v>78642.197911614843</v>
      </c>
      <c r="J27" s="47">
        <v>78642.197911614843</v>
      </c>
      <c r="K27" s="47">
        <v>0</v>
      </c>
      <c r="L27" s="48">
        <f t="shared" si="15"/>
        <v>78642.197911614843</v>
      </c>
      <c r="M27" s="47">
        <v>78642.197911614843</v>
      </c>
      <c r="N27" s="47">
        <v>0</v>
      </c>
      <c r="O27" s="48">
        <f t="shared" si="16"/>
        <v>78642.197911614843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11176.219978117688</v>
      </c>
      <c r="E29" s="47">
        <v>0</v>
      </c>
      <c r="F29" s="48">
        <f t="shared" si="13"/>
        <v>11176.219978117688</v>
      </c>
      <c r="G29" s="47">
        <v>11256.511711898138</v>
      </c>
      <c r="H29" s="47">
        <v>0</v>
      </c>
      <c r="I29" s="48">
        <f t="shared" si="14"/>
        <v>11256.511711898138</v>
      </c>
      <c r="J29" s="47">
        <v>11256.511711898138</v>
      </c>
      <c r="K29" s="47">
        <v>0</v>
      </c>
      <c r="L29" s="48">
        <f t="shared" si="15"/>
        <v>11256.511711898138</v>
      </c>
      <c r="M29" s="47">
        <v>11256.511711898138</v>
      </c>
      <c r="N29" s="47">
        <v>0</v>
      </c>
      <c r="O29" s="48">
        <f t="shared" si="16"/>
        <v>11256.511711898138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115747.33214328472</v>
      </c>
      <c r="E30" s="51">
        <f>+E26+E27+E28+E29</f>
        <v>0</v>
      </c>
      <c r="F30" s="52">
        <f t="shared" si="13"/>
        <v>115747.33214328472</v>
      </c>
      <c r="G30" s="51">
        <f>+G26+G27+G28+G29</f>
        <v>119588.55551613578</v>
      </c>
      <c r="H30" s="51">
        <f>+H26+H27+H28+H29</f>
        <v>0</v>
      </c>
      <c r="I30" s="52">
        <f t="shared" si="14"/>
        <v>119588.55551613578</v>
      </c>
      <c r="J30" s="51">
        <f>+J26+J27+J28+J29</f>
        <v>119588.55551613578</v>
      </c>
      <c r="K30" s="51">
        <f>+K26+K27+K28+K29</f>
        <v>0</v>
      </c>
      <c r="L30" s="52">
        <f t="shared" si="15"/>
        <v>119588.55551613578</v>
      </c>
      <c r="M30" s="51">
        <f>+M26+M27+M28+M29</f>
        <v>119588.55551613578</v>
      </c>
      <c r="N30" s="51">
        <f>+N26+N27+N28+N29</f>
        <v>0</v>
      </c>
      <c r="O30" s="52">
        <f t="shared" si="16"/>
        <v>119588.55551613578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68793.389280973788</v>
      </c>
      <c r="E31" s="53">
        <v>0</v>
      </c>
      <c r="F31" s="48">
        <f t="shared" si="13"/>
        <v>68793.389280973788</v>
      </c>
      <c r="G31" s="147">
        <f>VLOOKUP($A$1,REM_ToolEnrico!$B$5:$J$38,4,FALSE)</f>
        <v>65444.300793110575</v>
      </c>
      <c r="H31" s="53">
        <v>0</v>
      </c>
      <c r="I31" s="48">
        <f t="shared" si="14"/>
        <v>65444.300793110575</v>
      </c>
      <c r="J31" s="147">
        <f>VLOOKUP($A$1,REM_ToolEnrico!$B$5:$J$38,6,FALSE)</f>
        <v>61184.519204717413</v>
      </c>
      <c r="K31" s="53">
        <v>0</v>
      </c>
      <c r="L31" s="48">
        <f t="shared" si="15"/>
        <v>61184.519204717413</v>
      </c>
      <c r="M31" s="147">
        <f>VLOOKUP($A$1,REM_ToolEnrico!$B$5:$J$38,8,FALSE)</f>
        <v>64758.823302391858</v>
      </c>
      <c r="N31" s="53">
        <v>0</v>
      </c>
      <c r="O31" s="48">
        <f t="shared" si="16"/>
        <v>64758.823302391858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53612.335276470971</v>
      </c>
      <c r="E32" s="54">
        <f>+E33+E34+E35+E36</f>
        <v>0</v>
      </c>
      <c r="F32" s="48">
        <f t="shared" si="13"/>
        <v>53612.335276470971</v>
      </c>
      <c r="G32" s="54">
        <f>+G33+G34+G35+G36</f>
        <v>53558.776499971005</v>
      </c>
      <c r="H32" s="54">
        <f>+H33+H34+H35+H36</f>
        <v>0</v>
      </c>
      <c r="I32" s="48">
        <f t="shared" si="14"/>
        <v>53558.776499971005</v>
      </c>
      <c r="J32" s="54">
        <f>+J33+J34+J35+J36</f>
        <v>53558.776499971005</v>
      </c>
      <c r="K32" s="54">
        <f>+K33+K34+K35+K36</f>
        <v>0</v>
      </c>
      <c r="L32" s="48">
        <f t="shared" si="15"/>
        <v>53558.776499971005</v>
      </c>
      <c r="M32" s="54">
        <f>+M33+M34+M35+M36</f>
        <v>53558.776499971005</v>
      </c>
      <c r="N32" s="54">
        <f>+N33+N34+N35+N36</f>
        <v>0</v>
      </c>
      <c r="O32" s="48">
        <f t="shared" si="16"/>
        <v>53558.776499971005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53612.335276470971</v>
      </c>
      <c r="E34" s="47">
        <v>0</v>
      </c>
      <c r="F34" s="48">
        <f>D34+E34</f>
        <v>53612.335276470971</v>
      </c>
      <c r="G34" s="47">
        <v>53558.776499971005</v>
      </c>
      <c r="H34" s="47">
        <v>0</v>
      </c>
      <c r="I34" s="48">
        <f>G34+H34</f>
        <v>53558.776499971005</v>
      </c>
      <c r="J34" s="47">
        <v>53558.776499971005</v>
      </c>
      <c r="K34" s="158">
        <v>0</v>
      </c>
      <c r="L34" s="48">
        <f t="shared" si="15"/>
        <v>53558.776499971005</v>
      </c>
      <c r="M34" s="47">
        <v>53558.776499971005</v>
      </c>
      <c r="N34" s="158">
        <v>0</v>
      </c>
      <c r="O34" s="48">
        <f t="shared" si="16"/>
        <v>53558.776499971005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29349.672778966578</v>
      </c>
      <c r="E37" s="47">
        <v>0</v>
      </c>
      <c r="F37" s="48">
        <f t="shared" si="13"/>
        <v>29349.672778966578</v>
      </c>
      <c r="G37" s="147">
        <f>VLOOKUP($A$1,REM_ToolEnrico!$B$5:$J$38,5,FALSE)</f>
        <v>25494.505970443694</v>
      </c>
      <c r="H37" s="47">
        <v>0</v>
      </c>
      <c r="I37" s="48">
        <f t="shared" si="17"/>
        <v>25494.505970443694</v>
      </c>
      <c r="J37" s="147">
        <f>VLOOKUP($A$1,REM_ToolEnrico!$B$5:$J$38,7,FALSE)</f>
        <v>23827.886166204771</v>
      </c>
      <c r="K37" s="47">
        <v>0</v>
      </c>
      <c r="L37" s="48">
        <f t="shared" si="15"/>
        <v>23827.886166204771</v>
      </c>
      <c r="M37" s="147">
        <f>VLOOKUP($A$1,REM_ToolEnrico!$B$5:$J$38,9,FALSE)</f>
        <v>22096.743355533014</v>
      </c>
      <c r="N37" s="47">
        <v>0</v>
      </c>
      <c r="O37" s="48">
        <f t="shared" si="16"/>
        <v>22096.743355533014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126.9708818804379</v>
      </c>
      <c r="E38" s="47">
        <v>0</v>
      </c>
      <c r="F38" s="48">
        <f t="shared" si="13"/>
        <v>126.9708818804379</v>
      </c>
      <c r="G38" s="47">
        <v>127.22482364419876</v>
      </c>
      <c r="H38" s="47">
        <v>0</v>
      </c>
      <c r="I38" s="48">
        <f t="shared" si="17"/>
        <v>127.22482364419876</v>
      </c>
      <c r="J38" s="47">
        <v>127.22482364419876</v>
      </c>
      <c r="K38" s="47">
        <v>0</v>
      </c>
      <c r="L38" s="48">
        <f t="shared" si="15"/>
        <v>127.22482364419876</v>
      </c>
      <c r="M38" s="47">
        <v>127.22482364419876</v>
      </c>
      <c r="N38" s="47">
        <v>0</v>
      </c>
      <c r="O38" s="48">
        <f t="shared" si="16"/>
        <v>127.22482364419876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151882.36821829178</v>
      </c>
      <c r="E40" s="51">
        <f>E38+E37+E32+E31+E39</f>
        <v>0</v>
      </c>
      <c r="F40" s="52">
        <f t="shared" si="13"/>
        <v>151882.36821829178</v>
      </c>
      <c r="G40" s="51">
        <f>G38+G37+G32+G31+G39</f>
        <v>144624.80808716948</v>
      </c>
      <c r="H40" s="51">
        <f>H38+H37+H32+H31+H39</f>
        <v>0</v>
      </c>
      <c r="I40" s="52">
        <f t="shared" si="17"/>
        <v>144624.80808716948</v>
      </c>
      <c r="J40" s="51">
        <f>J38+J37+J32+J31+J39</f>
        <v>138698.40669453738</v>
      </c>
      <c r="K40" s="51">
        <f>K38+K37+K32+K31+K39</f>
        <v>0</v>
      </c>
      <c r="L40" s="52">
        <f t="shared" si="15"/>
        <v>138698.40669453738</v>
      </c>
      <c r="M40" s="51">
        <f>M38+M37+M32+M31+M39</f>
        <v>140541.56798154008</v>
      </c>
      <c r="N40" s="51">
        <f>N38+N37+N32+N31+N39</f>
        <v>0</v>
      </c>
      <c r="O40" s="52">
        <f t="shared" si="16"/>
        <v>140541.56798154008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4263.5343369033289</v>
      </c>
      <c r="E42" s="22">
        <v>0</v>
      </c>
      <c r="F42" s="36">
        <f t="shared" si="13"/>
        <v>4263.5343369033289</v>
      </c>
      <c r="G42" s="22">
        <v>8033.5405833612567</v>
      </c>
      <c r="H42" s="22">
        <v>0</v>
      </c>
      <c r="I42" s="36">
        <f t="shared" si="17"/>
        <v>8033.5405833612567</v>
      </c>
      <c r="J42" s="22">
        <v>8033.5405833612567</v>
      </c>
      <c r="K42" s="22">
        <v>0</v>
      </c>
      <c r="L42" s="36">
        <f t="shared" si="15"/>
        <v>8033.5405833612567</v>
      </c>
      <c r="M42" s="22">
        <v>8033.5405833612567</v>
      </c>
      <c r="N42" s="22">
        <v>0</v>
      </c>
      <c r="O42" s="36">
        <f t="shared" si="16"/>
        <v>8033.5405833612567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-22133.469654956221</v>
      </c>
      <c r="E44" s="57">
        <v>0</v>
      </c>
      <c r="F44" s="36">
        <f t="shared" si="13"/>
        <v>-22133.469654956221</v>
      </c>
      <c r="G44" s="57">
        <v>0</v>
      </c>
      <c r="H44" s="57">
        <v>0</v>
      </c>
      <c r="I44" s="36">
        <f t="shared" si="17"/>
        <v>0</v>
      </c>
      <c r="J44" s="57">
        <v>0</v>
      </c>
      <c r="K44" s="57">
        <v>0</v>
      </c>
      <c r="L44" s="36">
        <f t="shared" si="15"/>
        <v>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366388.10520290898</v>
      </c>
      <c r="E47" s="59">
        <f>E25+E30+E40+E41+E42+E43+E44+E45</f>
        <v>0</v>
      </c>
      <c r="F47" s="60">
        <f>D47+E47</f>
        <v>366388.10520290898</v>
      </c>
      <c r="G47" s="59">
        <f>G25+G30+G40+G41+G42+G43+G44+G46</f>
        <v>394153.49342999957</v>
      </c>
      <c r="H47" s="59">
        <f>H25+H30+H40+H41+H42+H43+H44+H45+H46</f>
        <v>0</v>
      </c>
      <c r="I47" s="60">
        <f>G47+H47</f>
        <v>394153.49342999957</v>
      </c>
      <c r="J47" s="59">
        <f>J25+J30+J40+J41+J42+J43+J44+J46</f>
        <v>388227.09203736746</v>
      </c>
      <c r="K47" s="59">
        <f>K25+K30+K40+K41+K42+K43+K44+K45+K46</f>
        <v>0</v>
      </c>
      <c r="L47" s="60">
        <f>J47+K47</f>
        <v>388227.09203736746</v>
      </c>
      <c r="M47" s="59">
        <f>M25+M30+M40+M41+M42+M43+M44+M46</f>
        <v>390070.25332437019</v>
      </c>
      <c r="N47" s="59">
        <f>N25+N30+N40+N41+N42+N43+N44+N45+N46</f>
        <v>0</v>
      </c>
      <c r="O47" s="60">
        <f>M47+N47</f>
        <v>390070.25332437019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834126.73895866307</v>
      </c>
      <c r="E49" s="65">
        <v>0</v>
      </c>
      <c r="F49" s="65">
        <f>D49+E49</f>
        <v>834126.73895866307</v>
      </c>
      <c r="G49" s="65">
        <f>G50</f>
        <v>986396.39192093443</v>
      </c>
      <c r="H49" s="65">
        <v>0</v>
      </c>
      <c r="I49" s="65">
        <f t="shared" ref="I49" si="21">G49+H49</f>
        <v>986396.39192093443</v>
      </c>
      <c r="J49" s="65">
        <f>J50</f>
        <v>919208.07279190258</v>
      </c>
      <c r="K49" s="65">
        <v>0</v>
      </c>
      <c r="L49" s="65">
        <f t="shared" ref="L49" si="22">J49+K49</f>
        <v>919208.07279190258</v>
      </c>
      <c r="M49" s="65">
        <f>M50</f>
        <v>979875.57882890524</v>
      </c>
      <c r="N49" s="65">
        <v>0</v>
      </c>
      <c r="O49" s="65">
        <f t="shared" ref="O49" si="23">M49+N49</f>
        <v>979875.57882890524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834126.73895866307</v>
      </c>
      <c r="E50" s="59">
        <f t="shared" si="24"/>
        <v>0</v>
      </c>
      <c r="F50" s="59">
        <f t="shared" si="24"/>
        <v>834126.73895866307</v>
      </c>
      <c r="G50" s="59">
        <f>+G23+G47</f>
        <v>986396.39192093443</v>
      </c>
      <c r="H50" s="59">
        <f t="shared" si="24"/>
        <v>0</v>
      </c>
      <c r="I50" s="59">
        <f t="shared" si="24"/>
        <v>986396.39192093443</v>
      </c>
      <c r="J50" s="59">
        <f t="shared" si="24"/>
        <v>919208.07279190258</v>
      </c>
      <c r="K50" s="59">
        <f>+K23+K47</f>
        <v>0</v>
      </c>
      <c r="L50" s="59">
        <f t="shared" si="24"/>
        <v>919208.07279190258</v>
      </c>
      <c r="M50" s="59">
        <f>+M23+M47</f>
        <v>979875.57882890524</v>
      </c>
      <c r="N50" s="59">
        <f t="shared" si="24"/>
        <v>0</v>
      </c>
      <c r="O50" s="59">
        <f t="shared" si="24"/>
        <v>979875.57882890524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-22133.469654956221</v>
      </c>
      <c r="E51" s="68"/>
      <c r="F51" s="146"/>
      <c r="G51" s="68">
        <f>G44+G20</f>
        <v>105960.57298639967</v>
      </c>
      <c r="H51" s="68"/>
      <c r="I51" s="146"/>
      <c r="J51" s="68">
        <f>J44+J20</f>
        <v>10057.65525</v>
      </c>
      <c r="K51" s="68"/>
      <c r="L51" s="146"/>
      <c r="M51" s="68">
        <f>M44+M20</f>
        <v>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0.86419999999999997</v>
      </c>
      <c r="G53" s="72"/>
      <c r="H53" s="73"/>
      <c r="I53" s="74">
        <v>0.86419999999999997</v>
      </c>
      <c r="J53" s="72"/>
      <c r="K53" s="73"/>
      <c r="L53" s="74">
        <v>0.86419999999999997</v>
      </c>
      <c r="M53" s="72"/>
      <c r="N53" s="73"/>
      <c r="O53" s="74">
        <v>0.86419999999999997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2725.3829999999998</v>
      </c>
      <c r="G54" s="34"/>
      <c r="H54" s="76"/>
      <c r="I54" s="77">
        <v>2725.3829999999998</v>
      </c>
      <c r="J54" s="34"/>
      <c r="K54" s="76"/>
      <c r="L54" s="77">
        <v>2725.3829999999998</v>
      </c>
      <c r="M54" s="34"/>
      <c r="N54" s="76"/>
      <c r="O54" s="77">
        <v>2725.3829999999998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29.280336677995514</v>
      </c>
      <c r="G55" s="34"/>
      <c r="H55" s="76"/>
      <c r="I55" s="78">
        <v>27.842914215052271</v>
      </c>
      <c r="J55" s="34"/>
      <c r="K55" s="76"/>
      <c r="L55" s="78">
        <v>29.680546552967296</v>
      </c>
      <c r="M55" s="34"/>
      <c r="N55" s="76"/>
      <c r="O55" s="78">
        <v>31.609782078910168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29.499990913691136</v>
      </c>
      <c r="G56" s="81"/>
      <c r="H56" s="82"/>
      <c r="I56" s="78">
        <v>29.499990913691136</v>
      </c>
      <c r="J56" s="81"/>
      <c r="K56" s="82"/>
      <c r="L56" s="78">
        <v>29.499990913691136</v>
      </c>
      <c r="M56" s="81"/>
      <c r="N56" s="82"/>
      <c r="O56" s="78">
        <v>29.499990913691136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0</v>
      </c>
      <c r="G60" s="90"/>
      <c r="H60" s="76"/>
      <c r="I60" s="89">
        <v>0</v>
      </c>
      <c r="J60" s="34"/>
      <c r="K60" s="91"/>
      <c r="L60" s="89">
        <v>0</v>
      </c>
      <c r="M60" s="34"/>
      <c r="N60" s="76"/>
      <c r="O60" s="89">
        <v>0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0</v>
      </c>
      <c r="G61" s="90"/>
      <c r="H61" s="76"/>
      <c r="I61" s="92">
        <v>0</v>
      </c>
      <c r="J61" s="34"/>
      <c r="K61" s="76"/>
      <c r="L61" s="93">
        <v>0</v>
      </c>
      <c r="M61" s="34"/>
      <c r="N61" s="76"/>
      <c r="O61" s="92">
        <v>0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1</v>
      </c>
      <c r="G62" s="95"/>
      <c r="H62" s="82"/>
      <c r="I62" s="94">
        <v>1</v>
      </c>
      <c r="J62" s="81"/>
      <c r="K62" s="82"/>
      <c r="L62" s="94">
        <v>1</v>
      </c>
      <c r="M62" s="81"/>
      <c r="N62" s="82"/>
      <c r="O62" s="94">
        <v>1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1.00000001E-3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6.5999999990000002E-2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1.0659999999900001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834126.73895866307</v>
      </c>
      <c r="G72" s="34"/>
      <c r="H72" s="76"/>
      <c r="I72" s="108">
        <f>I50</f>
        <v>986396.39192093443</v>
      </c>
      <c r="J72" s="34"/>
      <c r="K72" s="76"/>
      <c r="L72" s="108">
        <f>L50</f>
        <v>919208.07279190258</v>
      </c>
      <c r="M72" s="34"/>
      <c r="N72" s="76"/>
      <c r="O72" s="108">
        <f>O50</f>
        <v>979875.57882890524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532354.64691818214</v>
      </c>
      <c r="G73" s="34"/>
      <c r="H73" s="76"/>
      <c r="I73" s="110">
        <f>F81</f>
        <v>442520.46485874761</v>
      </c>
      <c r="J73" s="34"/>
      <c r="K73" s="76"/>
      <c r="L73" s="110">
        <f>I81</f>
        <v>468142.89849093487</v>
      </c>
      <c r="M73" s="34"/>
      <c r="N73" s="76"/>
      <c r="O73" s="110">
        <f>L81</f>
        <v>530980.98075453518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226471.40380343597</v>
      </c>
      <c r="G74" s="34"/>
      <c r="H74" s="76"/>
      <c r="I74" s="110">
        <f>F82</f>
        <v>366388.10520290904</v>
      </c>
      <c r="J74" s="34"/>
      <c r="K74" s="76"/>
      <c r="L74" s="110">
        <f>I82</f>
        <v>394153.49342999957</v>
      </c>
      <c r="M74" s="34"/>
      <c r="N74" s="76"/>
      <c r="O74" s="110">
        <f>L82</f>
        <v>388227.0920373674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758826.05072161811</v>
      </c>
      <c r="G75" s="34"/>
      <c r="H75" s="76"/>
      <c r="I75" s="111">
        <f>SUM(I73:I74)</f>
        <v>808908.57006165665</v>
      </c>
      <c r="J75" s="34"/>
      <c r="K75" s="76"/>
      <c r="L75" s="111">
        <f>SUM(L73:L74)</f>
        <v>862296.39192093443</v>
      </c>
      <c r="M75" s="34"/>
      <c r="N75" s="76"/>
      <c r="O75" s="111">
        <f>SUM(O73:O74)</f>
        <v>919208.07279190258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1.0992331354009743</v>
      </c>
      <c r="G76" s="81"/>
      <c r="H76" s="82"/>
      <c r="I76" s="112">
        <f>I72/I75</f>
        <v>1.2194164191457995</v>
      </c>
      <c r="J76" s="81"/>
      <c r="K76" s="82"/>
      <c r="L76" s="112">
        <f>L72/L75</f>
        <v>1.0660001380084476</v>
      </c>
      <c r="M76" s="81"/>
      <c r="N76" s="82"/>
      <c r="O76" s="112">
        <f>O72/O75</f>
        <v>1.0659997533014889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808908.57006165665</v>
      </c>
      <c r="G78" s="73"/>
      <c r="H78" s="73"/>
      <c r="I78" s="115">
        <f>IF(I72&lt;=I75*I71,I72,I75*I71)</f>
        <v>861487.62711566431</v>
      </c>
      <c r="J78" s="73"/>
      <c r="K78" s="73"/>
      <c r="L78" s="115">
        <f>IF(L72&lt;=L75*L71,L72,L75*L71)</f>
        <v>918345.6573957951</v>
      </c>
      <c r="M78" s="73"/>
      <c r="N78" s="73"/>
      <c r="O78" s="115">
        <f>IF(O72&lt;=O75*O71,O72,O75*O71)</f>
        <v>978956.59752337623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25218.168897006428</v>
      </c>
      <c r="G79" s="34"/>
      <c r="H79" s="76"/>
      <c r="I79" s="169">
        <f>IF(I76&lt;=I71,0,I72-I78)*0+124100</f>
        <v>124100</v>
      </c>
      <c r="J79" s="82"/>
      <c r="K79" s="82"/>
      <c r="L79" s="169">
        <f>IF(L76&lt;=L71,0,L72-L78)*0</f>
        <v>0</v>
      </c>
      <c r="M79" s="82"/>
      <c r="N79" s="82"/>
      <c r="O79" s="169">
        <f>IF(O76&lt;=O71,0,O72-O78)*0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442520.46485874761</v>
      </c>
      <c r="E81" s="120">
        <f>E23</f>
        <v>0</v>
      </c>
      <c r="F81" s="115">
        <f>D81+E81</f>
        <v>442520.46485874761</v>
      </c>
      <c r="G81" s="119">
        <f>G23-I79</f>
        <v>468142.89849093487</v>
      </c>
      <c r="H81" s="120">
        <f>H23</f>
        <v>0</v>
      </c>
      <c r="I81" s="115">
        <f>G81+H81</f>
        <v>468142.89849093487</v>
      </c>
      <c r="J81" s="119">
        <f>J23-L79</f>
        <v>530980.98075453518</v>
      </c>
      <c r="K81" s="120">
        <f>K23</f>
        <v>0</v>
      </c>
      <c r="L81" s="115">
        <f>J81+K81</f>
        <v>530980.98075453518</v>
      </c>
      <c r="M81" s="119">
        <f>M23-O79</f>
        <v>589805.32550453511</v>
      </c>
      <c r="N81" s="120">
        <f>N23</f>
        <v>0</v>
      </c>
      <c r="O81" s="115">
        <f>M81+N81</f>
        <v>589805.32550453511</v>
      </c>
    </row>
    <row r="82" spans="1:52" s="14" customFormat="1" ht="20" customHeight="1" thickBot="1">
      <c r="B82" s="118" t="s">
        <v>72</v>
      </c>
      <c r="D82" s="121">
        <f>D50-D81-F79</f>
        <v>366388.10520290904</v>
      </c>
      <c r="E82" s="122">
        <f>E50-E81</f>
        <v>0</v>
      </c>
      <c r="F82" s="123">
        <f>D82+E82</f>
        <v>366388.10520290904</v>
      </c>
      <c r="G82" s="121">
        <f>G49-G81-I79</f>
        <v>394153.49342999957</v>
      </c>
      <c r="H82" s="122">
        <f>H50-H81</f>
        <v>0</v>
      </c>
      <c r="I82" s="123">
        <f>G82+H82</f>
        <v>394153.49342999957</v>
      </c>
      <c r="J82" s="121">
        <f>J50-J81-L79</f>
        <v>388227.0920373674</v>
      </c>
      <c r="K82" s="122">
        <f>K50-K81</f>
        <v>0</v>
      </c>
      <c r="L82" s="123">
        <f>J82+K82</f>
        <v>388227.0920373674</v>
      </c>
      <c r="M82" s="121">
        <f>M49-M81-O79</f>
        <v>390070.25332437013</v>
      </c>
      <c r="N82" s="122">
        <f>N50-N81</f>
        <v>0</v>
      </c>
      <c r="O82" s="123">
        <f>M82+N82</f>
        <v>390070.25332437013</v>
      </c>
    </row>
    <row r="83" spans="1:52" s="124" customFormat="1" ht="17.25" customHeight="1" thickBot="1">
      <c r="B83" s="125" t="s">
        <v>73</v>
      </c>
      <c r="C83" s="14"/>
      <c r="D83" s="126">
        <f>SUM(D81:D82)</f>
        <v>808908.57006165665</v>
      </c>
      <c r="E83" s="127">
        <f t="shared" ref="E83:O83" si="25">SUM(E81:E82)</f>
        <v>0</v>
      </c>
      <c r="F83" s="128">
        <f t="shared" si="25"/>
        <v>808908.57006165665</v>
      </c>
      <c r="G83" s="126">
        <f t="shared" si="25"/>
        <v>862296.39192093443</v>
      </c>
      <c r="H83" s="127">
        <f t="shared" si="25"/>
        <v>0</v>
      </c>
      <c r="I83" s="128">
        <f>SUM(I81:I82)</f>
        <v>862296.39192093443</v>
      </c>
      <c r="J83" s="126">
        <f t="shared" si="25"/>
        <v>919208.07279190258</v>
      </c>
      <c r="K83" s="127">
        <f t="shared" si="25"/>
        <v>0</v>
      </c>
      <c r="L83" s="128">
        <f t="shared" si="25"/>
        <v>919208.07279190258</v>
      </c>
      <c r="M83" s="126">
        <f t="shared" si="25"/>
        <v>979875.57882890524</v>
      </c>
      <c r="N83" s="127">
        <f t="shared" si="25"/>
        <v>0</v>
      </c>
      <c r="O83" s="128">
        <f t="shared" si="25"/>
        <v>979875.57882890524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442520.46485874761</v>
      </c>
      <c r="G88" s="72"/>
      <c r="H88" s="73"/>
      <c r="I88" s="136">
        <f>I81-I85</f>
        <v>468142.89849093487</v>
      </c>
      <c r="J88" s="72"/>
      <c r="K88" s="73"/>
      <c r="L88" s="136">
        <f>L81-L85</f>
        <v>530980.98075453518</v>
      </c>
      <c r="M88" s="72"/>
      <c r="N88" s="73"/>
      <c r="O88" s="136">
        <f>O81-O85</f>
        <v>589805.32550453511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366388.10520290904</v>
      </c>
      <c r="G89" s="34"/>
      <c r="H89" s="76"/>
      <c r="I89" s="138">
        <f>I82-I86</f>
        <v>394153.49342999957</v>
      </c>
      <c r="J89" s="34"/>
      <c r="K89" s="76"/>
      <c r="L89" s="138">
        <f>L82-L86</f>
        <v>388227.0920373674</v>
      </c>
      <c r="M89" s="34"/>
      <c r="N89" s="76"/>
      <c r="O89" s="138">
        <f>O82-O86</f>
        <v>390070.25332437013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808908.57006165665</v>
      </c>
      <c r="G90" s="81"/>
      <c r="H90" s="82"/>
      <c r="I90" s="139">
        <f>+I88+I89</f>
        <v>862296.39192093443</v>
      </c>
      <c r="J90" s="81"/>
      <c r="K90" s="82"/>
      <c r="L90" s="139">
        <f>+L88+L89</f>
        <v>919208.07279190258</v>
      </c>
      <c r="M90" s="81"/>
      <c r="N90" s="82"/>
      <c r="O90" s="139">
        <f>+O88+O89</f>
        <v>979875.57882890524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-56.44234769672039</v>
      </c>
      <c r="E92" s="143">
        <v>0</v>
      </c>
      <c r="F92" s="144">
        <f>D92+E92</f>
        <v>-56.44234769672039</v>
      </c>
      <c r="G92" s="142">
        <v>-2675.698538584109</v>
      </c>
      <c r="H92" s="143">
        <v>0</v>
      </c>
      <c r="I92" s="144">
        <f>G92+H92</f>
        <v>-2675.698538584109</v>
      </c>
      <c r="J92" s="142">
        <v>-2675.698538584109</v>
      </c>
      <c r="K92" s="143">
        <v>0</v>
      </c>
      <c r="L92" s="144">
        <f>J92+K92</f>
        <v>-2675.698538584109</v>
      </c>
      <c r="M92" s="142">
        <v>-2675.698538584109</v>
      </c>
      <c r="N92" s="143">
        <v>0</v>
      </c>
      <c r="O92" s="144">
        <f>M92+N92</f>
        <v>-2675.698538584109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900737.2917778804</v>
      </c>
      <c r="E96" s="166">
        <f>E6+E7+E8+E9+E11+E25+E30+E40+E42+E21+E45</f>
        <v>0</v>
      </c>
      <c r="F96" s="166">
        <f t="shared" ref="F96" si="26">F6+F7+F8+F9+F11+F25+F30+F40+F42</f>
        <v>900737.2917778804</v>
      </c>
      <c r="G96" s="166">
        <f t="shared" ref="G96" si="27">G6+G7+G8+G9+G11+G25+G30+G40+G42+G21+G45</f>
        <v>924868.46944828203</v>
      </c>
      <c r="H96" s="166">
        <f t="shared" ref="H96" si="28">H6+H7+H8+H9+H11+H25+H30+H40+H42</f>
        <v>0</v>
      </c>
      <c r="I96" s="166">
        <f t="shared" ref="I96" si="29">I6+I7+I8+I9+I11+I25+I30+I40+I42+I21+I45</f>
        <v>924868.46944828203</v>
      </c>
      <c r="J96" s="166">
        <f t="shared" ref="J96" si="30">J6+J7+J8+J9+J11+J25+J30+J40+J42</f>
        <v>918942.06805564999</v>
      </c>
      <c r="K96" s="166">
        <f t="shared" ref="K96" si="31">K6+K7+K8+K9+K11+K25+K30+K40+K42+K21+K45</f>
        <v>0</v>
      </c>
      <c r="L96" s="166">
        <f t="shared" ref="L96" si="32">L6+L7+L8+L9+L11+L25+L30+L40+L42</f>
        <v>918942.06805564999</v>
      </c>
      <c r="M96" s="166">
        <f t="shared" ref="M96" si="33">M6+M7+M8+M9+M11+M25+M30+M40+M42+M21+M45</f>
        <v>920785.22934265272</v>
      </c>
      <c r="N96" s="166">
        <f t="shared" ref="N96" si="34">N6+N7+N8+N9+N11+N25+N30+N40+N42</f>
        <v>0</v>
      </c>
      <c r="O96" s="166">
        <f t="shared" ref="O96" si="35">O6+O7+O8+O9+O11+O25+O30+O40+O42+O21+O45</f>
        <v>920785.22934265272</v>
      </c>
    </row>
    <row r="97" spans="4:15" s="14" customFormat="1">
      <c r="D97" s="166">
        <f>D96-D15-D19</f>
        <v>856260.20861361932</v>
      </c>
      <c r="E97" s="166">
        <f>E96-E15-E19</f>
        <v>0</v>
      </c>
      <c r="F97" s="166">
        <f t="shared" ref="F97:O97" si="36">F96-F15-F19</f>
        <v>856260.20861361932</v>
      </c>
      <c r="G97" s="166">
        <f t="shared" si="36"/>
        <v>880435.81893453468</v>
      </c>
      <c r="H97" s="166">
        <f t="shared" si="36"/>
        <v>0</v>
      </c>
      <c r="I97" s="166">
        <f t="shared" si="36"/>
        <v>880435.81893453468</v>
      </c>
      <c r="J97" s="166">
        <f t="shared" si="36"/>
        <v>874509.41754190263</v>
      </c>
      <c r="K97" s="166">
        <f t="shared" si="36"/>
        <v>0</v>
      </c>
      <c r="L97" s="166">
        <f t="shared" si="36"/>
        <v>874509.41754190263</v>
      </c>
      <c r="M97" s="166">
        <f t="shared" si="36"/>
        <v>876352.57882890536</v>
      </c>
      <c r="N97" s="166">
        <f t="shared" si="36"/>
        <v>0</v>
      </c>
      <c r="O97" s="166">
        <f t="shared" si="36"/>
        <v>876352.57882890536</v>
      </c>
    </row>
    <row r="98" spans="4:15" s="14" customFormat="1">
      <c r="D98" s="166">
        <f>D20+D44</f>
        <v>-22133.469654956221</v>
      </c>
      <c r="E98" s="166">
        <f>E20+E44</f>
        <v>0</v>
      </c>
      <c r="F98" s="166">
        <f t="shared" ref="F98:O98" si="37">F20+F44</f>
        <v>-22133.469654956221</v>
      </c>
      <c r="G98" s="166">
        <f t="shared" si="37"/>
        <v>105960.57298639967</v>
      </c>
      <c r="H98" s="166">
        <f t="shared" si="37"/>
        <v>0</v>
      </c>
      <c r="I98" s="166">
        <f t="shared" si="37"/>
        <v>105960.57298639967</v>
      </c>
      <c r="J98" s="166">
        <f t="shared" si="37"/>
        <v>10057.65525</v>
      </c>
      <c r="K98" s="166">
        <f t="shared" si="37"/>
        <v>0</v>
      </c>
      <c r="L98" s="166">
        <f t="shared" si="37"/>
        <v>10057.65525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38" priority="7" operator="containsText" text="ERRORE">
      <formula>NOT(ISERROR(SEARCH("ERRORE",F81)))</formula>
    </cfRule>
  </conditionalFormatting>
  <conditionalFormatting sqref="I83">
    <cfRule type="containsText" dxfId="137" priority="6" operator="containsText" text="ERRORE">
      <formula>NOT(ISERROR(SEARCH("ERRORE",I83)))</formula>
    </cfRule>
  </conditionalFormatting>
  <conditionalFormatting sqref="I81:I82">
    <cfRule type="containsText" dxfId="136" priority="5" operator="containsText" text="ERRORE">
      <formula>NOT(ISERROR(SEARCH("ERRORE",I81)))</formula>
    </cfRule>
  </conditionalFormatting>
  <conditionalFormatting sqref="L83">
    <cfRule type="containsText" dxfId="135" priority="4" operator="containsText" text="ERRORE">
      <formula>NOT(ISERROR(SEARCH("ERRORE",L83)))</formula>
    </cfRule>
  </conditionalFormatting>
  <conditionalFormatting sqref="L81:L82">
    <cfRule type="containsText" dxfId="134" priority="3" operator="containsText" text="ERRORE">
      <formula>NOT(ISERROR(SEARCH("ERRORE",L81)))</formula>
    </cfRule>
  </conditionalFormatting>
  <conditionalFormatting sqref="O83">
    <cfRule type="containsText" dxfId="133" priority="2" operator="containsText" text="ERRORE">
      <formula>NOT(ISERROR(SEARCH("ERRORE",O83)))</formula>
    </cfRule>
  </conditionalFormatting>
  <conditionalFormatting sqref="O81:O82">
    <cfRule type="containsText" dxfId="132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F35" zoomScale="70" zoomScaleNormal="70" zoomScalePageLayoutView="70" workbookViewId="0">
      <selection activeCell="J51" sqref="J51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99</v>
      </c>
      <c r="B1" s="2" t="str">
        <f>"       PEF 2022 - 2025"&amp;" - "&amp;A1</f>
        <v xml:space="preserve">       PEF 2022 - 2025 - Mira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138</v>
      </c>
      <c r="E4" s="188"/>
      <c r="F4" s="189"/>
      <c r="G4" s="187" t="str">
        <f>D4</f>
        <v>Ambito tariffario: Mira</v>
      </c>
      <c r="H4" s="188"/>
      <c r="I4" s="189"/>
      <c r="J4" s="187" t="str">
        <f>D4</f>
        <v>Ambito tariffario: Mira</v>
      </c>
      <c r="K4" s="188"/>
      <c r="L4" s="189"/>
      <c r="M4" s="187" t="str">
        <f>D4</f>
        <v>Ambito tariffario: Mira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706486.92552807496</v>
      </c>
      <c r="E6" s="22">
        <v>0</v>
      </c>
      <c r="F6" s="23">
        <f>D6+E6</f>
        <v>706486.92552807496</v>
      </c>
      <c r="G6" s="22">
        <v>730828.08523379569</v>
      </c>
      <c r="H6" s="22">
        <v>0</v>
      </c>
      <c r="I6" s="23">
        <f>G6+H6</f>
        <v>730828.08523379569</v>
      </c>
      <c r="J6" s="22">
        <v>730828.08523379569</v>
      </c>
      <c r="K6" s="22">
        <v>0</v>
      </c>
      <c r="L6" s="23">
        <f>J6+K6</f>
        <v>730828.08523379569</v>
      </c>
      <c r="M6" s="22">
        <v>730828.08523379569</v>
      </c>
      <c r="N6" s="22">
        <v>0</v>
      </c>
      <c r="O6" s="23">
        <f>M6+N6</f>
        <v>730828.08523379569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438397.40515471168</v>
      </c>
      <c r="E7" s="22">
        <v>0</v>
      </c>
      <c r="F7" s="23">
        <f t="shared" ref="F7:F20" si="0">D7+E7</f>
        <v>438397.40515471168</v>
      </c>
      <c r="G7" s="22">
        <v>458906.2900239458</v>
      </c>
      <c r="H7" s="22">
        <v>0</v>
      </c>
      <c r="I7" s="23">
        <f t="shared" ref="I7:I13" si="1">G7+H7</f>
        <v>458906.2900239458</v>
      </c>
      <c r="J7" s="22">
        <v>458906.2900239458</v>
      </c>
      <c r="K7" s="22">
        <v>0</v>
      </c>
      <c r="L7" s="23">
        <f t="shared" ref="L7:L12" si="2">J7+K7</f>
        <v>458906.2900239458</v>
      </c>
      <c r="M7" s="22">
        <v>458906.2900239458</v>
      </c>
      <c r="N7" s="22">
        <v>0</v>
      </c>
      <c r="O7" s="23">
        <f t="shared" ref="O7:O13" si="3">M7+N7</f>
        <v>458906.2900239458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670903.15172605426</v>
      </c>
      <c r="E8" s="22">
        <v>0</v>
      </c>
      <c r="F8" s="23">
        <f t="shared" si="0"/>
        <v>670903.15172605426</v>
      </c>
      <c r="G8" s="22">
        <v>702305.45595019683</v>
      </c>
      <c r="H8" s="22">
        <v>0</v>
      </c>
      <c r="I8" s="23">
        <f t="shared" si="1"/>
        <v>702305.45595019683</v>
      </c>
      <c r="J8" s="22">
        <v>702305.45595019683</v>
      </c>
      <c r="K8" s="22">
        <v>0</v>
      </c>
      <c r="L8" s="23">
        <f t="shared" si="2"/>
        <v>702305.45595019683</v>
      </c>
      <c r="M8" s="22">
        <v>702305.45595019683</v>
      </c>
      <c r="N8" s="22">
        <v>0</v>
      </c>
      <c r="O8" s="23">
        <f t="shared" si="3"/>
        <v>702305.45595019683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1601960.2232178615</v>
      </c>
      <c r="E9" s="22">
        <v>0</v>
      </c>
      <c r="F9" s="23">
        <f t="shared" si="0"/>
        <v>1601960.2232178615</v>
      </c>
      <c r="G9" s="22">
        <v>1647205.6662390509</v>
      </c>
      <c r="H9" s="22">
        <v>0</v>
      </c>
      <c r="I9" s="23">
        <f t="shared" si="1"/>
        <v>1647205.6662390509</v>
      </c>
      <c r="J9" s="22">
        <v>1647205.6662390509</v>
      </c>
      <c r="K9" s="22">
        <v>0</v>
      </c>
      <c r="L9" s="23">
        <f t="shared" si="2"/>
        <v>1647205.6662390509</v>
      </c>
      <c r="M9" s="22">
        <v>1647205.6662390509</v>
      </c>
      <c r="N9" s="22">
        <v>0</v>
      </c>
      <c r="O9" s="23">
        <f t="shared" si="3"/>
        <v>1647205.6662390509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15375.439010163938</v>
      </c>
      <c r="E11" s="22">
        <v>0</v>
      </c>
      <c r="F11" s="23">
        <f t="shared" si="0"/>
        <v>15375.439010163938</v>
      </c>
      <c r="G11" s="22">
        <v>15375.439010163938</v>
      </c>
      <c r="H11" s="22">
        <v>0</v>
      </c>
      <c r="I11" s="23">
        <f t="shared" si="1"/>
        <v>15375.439010163938</v>
      </c>
      <c r="J11" s="22">
        <v>15375.439010163938</v>
      </c>
      <c r="K11" s="22">
        <v>0</v>
      </c>
      <c r="L11" s="23">
        <f t="shared" si="2"/>
        <v>15375.439010163938</v>
      </c>
      <c r="M11" s="22">
        <v>15375.439010163938</v>
      </c>
      <c r="N11" s="22">
        <v>0</v>
      </c>
      <c r="O11" s="23">
        <f t="shared" si="3"/>
        <v>15375.439010163938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315193.94173755776</v>
      </c>
      <c r="E13" s="22">
        <v>0</v>
      </c>
      <c r="F13" s="23">
        <f t="shared" si="0"/>
        <v>315193.94173755776</v>
      </c>
      <c r="G13" s="22">
        <v>314879.06267488288</v>
      </c>
      <c r="H13" s="22">
        <v>0</v>
      </c>
      <c r="I13" s="23">
        <f t="shared" si="1"/>
        <v>314879.06267488288</v>
      </c>
      <c r="J13" s="22">
        <v>314879.06267488288</v>
      </c>
      <c r="K13" s="22">
        <v>0</v>
      </c>
      <c r="L13" s="23">
        <f>J13+K13</f>
        <v>314879.06267488288</v>
      </c>
      <c r="M13" s="22">
        <v>314879.06267488288</v>
      </c>
      <c r="N13" s="22">
        <v>0</v>
      </c>
      <c r="O13" s="23">
        <f t="shared" si="3"/>
        <v>314879.06267488288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189116.36504253466</v>
      </c>
      <c r="E15" s="22">
        <v>0</v>
      </c>
      <c r="F15" s="23">
        <f t="shared" si="0"/>
        <v>189116.36504253466</v>
      </c>
      <c r="G15" s="22">
        <v>188927.43760492973</v>
      </c>
      <c r="H15" s="22">
        <v>0</v>
      </c>
      <c r="I15" s="23">
        <f t="shared" ref="I15:I16" si="4">G15+H15</f>
        <v>188927.43760492973</v>
      </c>
      <c r="J15" s="22">
        <v>188927.43760492973</v>
      </c>
      <c r="K15" s="22">
        <v>0</v>
      </c>
      <c r="L15" s="23">
        <f t="shared" ref="L15:L16" si="5">J15+K15</f>
        <v>188927.43760492973</v>
      </c>
      <c r="M15" s="22">
        <v>188927.43760492973</v>
      </c>
      <c r="N15" s="22">
        <v>0</v>
      </c>
      <c r="O15" s="23">
        <f t="shared" ref="O15:O16" si="6">M15+N15</f>
        <v>188927.43760492973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2499.9222267476862</v>
      </c>
      <c r="E16" s="22">
        <v>0</v>
      </c>
      <c r="F16" s="23">
        <f t="shared" si="0"/>
        <v>2499.9222267476862</v>
      </c>
      <c r="G16" s="22">
        <v>2497.4248019457405</v>
      </c>
      <c r="H16" s="22">
        <v>0</v>
      </c>
      <c r="I16" s="23">
        <f t="shared" si="4"/>
        <v>2497.4248019457405</v>
      </c>
      <c r="J16" s="22">
        <v>2497.4248019457405</v>
      </c>
      <c r="K16" s="22">
        <v>0</v>
      </c>
      <c r="L16" s="23">
        <f t="shared" si="5"/>
        <v>2497.4248019457405</v>
      </c>
      <c r="M16" s="22">
        <v>2497.4248019457405</v>
      </c>
      <c r="N16" s="22">
        <v>0</v>
      </c>
      <c r="O16" s="23">
        <f t="shared" si="6"/>
        <v>2497.4248019457405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1649.948669653473</v>
      </c>
      <c r="E19" s="22">
        <v>0</v>
      </c>
      <c r="F19" s="23">
        <f t="shared" si="0"/>
        <v>1649.948669653473</v>
      </c>
      <c r="G19" s="22">
        <v>1648.3003692841887</v>
      </c>
      <c r="H19" s="22">
        <v>0</v>
      </c>
      <c r="I19" s="23">
        <f t="shared" ref="I19:I20" si="7">G19+H19</f>
        <v>1648.3003692841887</v>
      </c>
      <c r="J19" s="22">
        <v>1648.3003692841887</v>
      </c>
      <c r="K19" s="22">
        <v>0</v>
      </c>
      <c r="L19" s="23">
        <f t="shared" ref="L19:L20" si="8">J19+K19</f>
        <v>1648.3003692841887</v>
      </c>
      <c r="M19" s="32">
        <v>1648.3003692841887</v>
      </c>
      <c r="N19" s="33">
        <v>0</v>
      </c>
      <c r="O19" s="23">
        <f t="shared" ref="O19:O20" si="9">M19+N19</f>
        <v>1648.3003692841887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181">
        <f>-230117.813427367/2</f>
        <v>-115058.90671368349</v>
      </c>
      <c r="E20" s="22">
        <v>0</v>
      </c>
      <c r="F20" s="23">
        <f t="shared" si="0"/>
        <v>-115058.90671368349</v>
      </c>
      <c r="G20" s="22">
        <v>0</v>
      </c>
      <c r="H20" s="22">
        <v>0</v>
      </c>
      <c r="I20" s="23">
        <f t="shared" si="7"/>
        <v>0</v>
      </c>
      <c r="J20" s="180">
        <f>107943.45/2</f>
        <v>53971.724999999999</v>
      </c>
      <c r="K20" s="22">
        <v>0</v>
      </c>
      <c r="L20" s="23">
        <f t="shared" si="8"/>
        <v>53971.724999999999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/>
      <c r="F21" s="23">
        <f>E21</f>
        <v>0</v>
      </c>
      <c r="G21" s="34"/>
      <c r="H21" s="22"/>
      <c r="I21" s="23">
        <f>H21</f>
        <v>0</v>
      </c>
      <c r="J21" s="34"/>
      <c r="K21" s="22"/>
      <c r="L21" s="23">
        <f>K21</f>
        <v>0</v>
      </c>
      <c r="M21" s="34"/>
      <c r="N21" s="22"/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3127297.9242109945</v>
      </c>
      <c r="E23" s="38">
        <f>E6+E7+E8+E9+E10+E11+E12-E15-E19+E20+E21</f>
        <v>0</v>
      </c>
      <c r="F23" s="38">
        <f>D23+E23</f>
        <v>3127297.9242109945</v>
      </c>
      <c r="G23" s="38">
        <f>G6+G7+G8+G9+G10+G11+G12-G15-G19+G20+G22</f>
        <v>3364045.198482939</v>
      </c>
      <c r="H23" s="38">
        <f>H6+H7+H8+H9+H10+H11+H12-H15-H19+H20+H21+H22</f>
        <v>0</v>
      </c>
      <c r="I23" s="38">
        <f>G23+H23</f>
        <v>3364045.198482939</v>
      </c>
      <c r="J23" s="38">
        <f>J6+J7+J8+J9+J10+J11+J12-J15-J19+J20+J22</f>
        <v>3418016.9234829391</v>
      </c>
      <c r="K23" s="38">
        <f>K6+K7+K8+K9+K10+K11+K12-K15-K19+K20+K21+K22</f>
        <v>0</v>
      </c>
      <c r="L23" s="38">
        <f>J23+K23</f>
        <v>3418016.9234829391</v>
      </c>
      <c r="M23" s="38">
        <f>M6+M7+M8+M9+M10+M11+M12-M15-M19+M20+M22</f>
        <v>3364045.198482939</v>
      </c>
      <c r="N23" s="38">
        <f>N6+N7+N8+N9+N10+N11+N12-N15-N19+N20+N21+N22</f>
        <v>0</v>
      </c>
      <c r="O23" s="38">
        <f>M23+N23</f>
        <v>3364045.198482939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837920.91061192018</v>
      </c>
      <c r="E25" s="44">
        <v>0</v>
      </c>
      <c r="F25" s="45">
        <f t="shared" ref="F25:F44" si="13">D25+E25</f>
        <v>837920.91061192018</v>
      </c>
      <c r="G25" s="44">
        <v>875842.69937109982</v>
      </c>
      <c r="H25" s="44">
        <v>0</v>
      </c>
      <c r="I25" s="45">
        <f t="shared" ref="I25:I33" si="14">G25+H25</f>
        <v>875842.69937109982</v>
      </c>
      <c r="J25" s="44">
        <v>875842.69937109982</v>
      </c>
      <c r="K25" s="44">
        <v>0</v>
      </c>
      <c r="L25" s="45">
        <f t="shared" ref="L25:L44" si="15">J25+K25</f>
        <v>875842.69937109982</v>
      </c>
      <c r="M25" s="44">
        <v>875842.69937109982</v>
      </c>
      <c r="N25" s="44">
        <v>0</v>
      </c>
      <c r="O25" s="45">
        <f t="shared" ref="O25:O43" si="16">M25+N25</f>
        <v>875842.69937109982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222287.00761917926</v>
      </c>
      <c r="E26" s="22">
        <v>0</v>
      </c>
      <c r="F26" s="36">
        <f t="shared" si="13"/>
        <v>222287.00761917926</v>
      </c>
      <c r="G26" s="22">
        <v>228798.72937758986</v>
      </c>
      <c r="H26" s="22">
        <v>0</v>
      </c>
      <c r="I26" s="36">
        <f t="shared" si="14"/>
        <v>228798.72937758986</v>
      </c>
      <c r="J26" s="22">
        <v>228798.72937758986</v>
      </c>
      <c r="K26" s="22">
        <v>0</v>
      </c>
      <c r="L26" s="36">
        <f t="shared" si="15"/>
        <v>228798.72937758986</v>
      </c>
      <c r="M26" s="22">
        <v>228798.72937758986</v>
      </c>
      <c r="N26" s="22">
        <v>0</v>
      </c>
      <c r="O26" s="36">
        <f t="shared" si="16"/>
        <v>228798.72937758986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510308.32018971117</v>
      </c>
      <c r="E27" s="47">
        <v>0</v>
      </c>
      <c r="F27" s="48">
        <f t="shared" si="13"/>
        <v>510308.32018971117</v>
      </c>
      <c r="G27" s="47">
        <v>529958.44942491502</v>
      </c>
      <c r="H27" s="47">
        <v>0</v>
      </c>
      <c r="I27" s="48">
        <f t="shared" si="14"/>
        <v>529958.44942491502</v>
      </c>
      <c r="J27" s="47">
        <v>529958.44942491502</v>
      </c>
      <c r="K27" s="47">
        <v>0</v>
      </c>
      <c r="L27" s="48">
        <f t="shared" si="15"/>
        <v>529958.44942491502</v>
      </c>
      <c r="M27" s="47">
        <v>529958.44942491502</v>
      </c>
      <c r="N27" s="47">
        <v>0</v>
      </c>
      <c r="O27" s="48">
        <f t="shared" si="16"/>
        <v>529958.44942491502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71884.32690716155</v>
      </c>
      <c r="E29" s="47">
        <v>0</v>
      </c>
      <c r="F29" s="48">
        <f t="shared" si="13"/>
        <v>71884.32690716155</v>
      </c>
      <c r="G29" s="47">
        <v>72400.75529263691</v>
      </c>
      <c r="H29" s="47">
        <v>0</v>
      </c>
      <c r="I29" s="48">
        <f t="shared" si="14"/>
        <v>72400.75529263691</v>
      </c>
      <c r="J29" s="47">
        <v>72400.75529263691</v>
      </c>
      <c r="K29" s="47">
        <v>0</v>
      </c>
      <c r="L29" s="48">
        <f t="shared" si="15"/>
        <v>72400.75529263691</v>
      </c>
      <c r="M29" s="47">
        <v>72400.75529263691</v>
      </c>
      <c r="N29" s="47">
        <v>0</v>
      </c>
      <c r="O29" s="48">
        <f t="shared" si="16"/>
        <v>72400.75529263691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804479.654716052</v>
      </c>
      <c r="E30" s="51">
        <f>+E26+E27+E28+E29</f>
        <v>0</v>
      </c>
      <c r="F30" s="52">
        <f t="shared" si="13"/>
        <v>804479.654716052</v>
      </c>
      <c r="G30" s="51">
        <f>+G26+G27+G28+G29</f>
        <v>831157.93409514183</v>
      </c>
      <c r="H30" s="51">
        <f>+H26+H27+H28+H29</f>
        <v>0</v>
      </c>
      <c r="I30" s="52">
        <f t="shared" si="14"/>
        <v>831157.93409514183</v>
      </c>
      <c r="J30" s="51">
        <f>+J26+J27+J28+J29</f>
        <v>831157.93409514183</v>
      </c>
      <c r="K30" s="51">
        <f>+K26+K27+K28+K29</f>
        <v>0</v>
      </c>
      <c r="L30" s="52">
        <f t="shared" si="15"/>
        <v>831157.93409514183</v>
      </c>
      <c r="M30" s="51">
        <f>+M26+M27+M28+M29</f>
        <v>831157.93409514183</v>
      </c>
      <c r="N30" s="51">
        <f>+N26+N27+N28+N29</f>
        <v>0</v>
      </c>
      <c r="O30" s="52">
        <f t="shared" si="16"/>
        <v>831157.93409514183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521894.07220452896</v>
      </c>
      <c r="E31" s="53">
        <v>0</v>
      </c>
      <c r="F31" s="48">
        <f t="shared" si="13"/>
        <v>521894.07220452896</v>
      </c>
      <c r="G31" s="147">
        <f>VLOOKUP($A$1,REM_ToolEnrico!$B$5:$J$38,4,FALSE)</f>
        <v>395400.44738554582</v>
      </c>
      <c r="H31" s="53">
        <v>0</v>
      </c>
      <c r="I31" s="48">
        <f t="shared" si="14"/>
        <v>395400.44738554582</v>
      </c>
      <c r="J31" s="147">
        <f>VLOOKUP($A$1,REM_ToolEnrico!$B$5:$J$38,6,FALSE)</f>
        <v>385186.05000317091</v>
      </c>
      <c r="K31" s="53">
        <v>0</v>
      </c>
      <c r="L31" s="48">
        <f t="shared" si="15"/>
        <v>385186.05000317091</v>
      </c>
      <c r="M31" s="147">
        <f>VLOOKUP($A$1,REM_ToolEnrico!$B$5:$J$38,8,FALSE)</f>
        <v>339471.29978838062</v>
      </c>
      <c r="N31" s="53">
        <v>0</v>
      </c>
      <c r="O31" s="48">
        <f t="shared" si="16"/>
        <v>339471.29978838062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370634.42259559029</v>
      </c>
      <c r="E32" s="54">
        <f>+E33+E34+E35+E36</f>
        <v>0</v>
      </c>
      <c r="F32" s="48">
        <f t="shared" si="13"/>
        <v>370634.42259559029</v>
      </c>
      <c r="G32" s="54">
        <f>+G33+G34+G35+G36</f>
        <v>370264.15843715321</v>
      </c>
      <c r="H32" s="54">
        <f>+H33+H34+H35+H36</f>
        <v>0</v>
      </c>
      <c r="I32" s="48">
        <f t="shared" si="14"/>
        <v>370264.15843715321</v>
      </c>
      <c r="J32" s="54">
        <f>+J33+J34+J35+J36</f>
        <v>370264.15843715321</v>
      </c>
      <c r="K32" s="54">
        <f>+K33+K34+K35+K36</f>
        <v>0</v>
      </c>
      <c r="L32" s="48">
        <f t="shared" si="15"/>
        <v>370264.15843715321</v>
      </c>
      <c r="M32" s="54">
        <f>+M33+M34+M35+M36</f>
        <v>370264.15843715321</v>
      </c>
      <c r="N32" s="54">
        <f>+N33+N34+N35+N36</f>
        <v>0</v>
      </c>
      <c r="O32" s="48">
        <f t="shared" si="16"/>
        <v>370264.15843715321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370634.42259559029</v>
      </c>
      <c r="E34" s="47">
        <v>0</v>
      </c>
      <c r="F34" s="48">
        <f>D34+E34</f>
        <v>370634.42259559029</v>
      </c>
      <c r="G34" s="47">
        <v>370264.15843715321</v>
      </c>
      <c r="H34" s="47">
        <v>0</v>
      </c>
      <c r="I34" s="48">
        <f>G34+H34</f>
        <v>370264.15843715321</v>
      </c>
      <c r="J34" s="47">
        <v>370264.15843715321</v>
      </c>
      <c r="K34" s="158">
        <v>0</v>
      </c>
      <c r="L34" s="48">
        <f t="shared" si="15"/>
        <v>370264.15843715321</v>
      </c>
      <c r="M34" s="47">
        <v>370264.15843715321</v>
      </c>
      <c r="N34" s="158">
        <v>0</v>
      </c>
      <c r="O34" s="48">
        <f t="shared" si="16"/>
        <v>370264.15843715321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217324.57517411988</v>
      </c>
      <c r="E37" s="47">
        <v>0</v>
      </c>
      <c r="F37" s="48">
        <f t="shared" si="13"/>
        <v>217324.57517411988</v>
      </c>
      <c r="G37" s="147">
        <f>VLOOKUP($A$1,REM_ToolEnrico!$B$5:$J$38,5,FALSE)</f>
        <v>206153.53638260151</v>
      </c>
      <c r="H37" s="47">
        <v>0</v>
      </c>
      <c r="I37" s="48">
        <f t="shared" si="17"/>
        <v>206153.53638260151</v>
      </c>
      <c r="J37" s="147">
        <f>VLOOKUP($A$1,REM_ToolEnrico!$B$5:$J$38,7,FALSE)</f>
        <v>192278.76041455372</v>
      </c>
      <c r="K37" s="47">
        <v>0</v>
      </c>
      <c r="L37" s="48">
        <f t="shared" si="15"/>
        <v>192278.76041455372</v>
      </c>
      <c r="M37" s="147">
        <f>VLOOKUP($A$1,REM_ToolEnrico!$B$5:$J$38,9,FALSE)</f>
        <v>177130.48008245006</v>
      </c>
      <c r="N37" s="47">
        <v>0</v>
      </c>
      <c r="O37" s="48">
        <f t="shared" si="16"/>
        <v>177130.48008245006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2166.6343305163964</v>
      </c>
      <c r="E38" s="47">
        <v>0</v>
      </c>
      <c r="F38" s="48">
        <f t="shared" si="13"/>
        <v>2166.6343305163964</v>
      </c>
      <c r="G38" s="47">
        <v>2170.9675991774293</v>
      </c>
      <c r="H38" s="47">
        <v>0</v>
      </c>
      <c r="I38" s="48">
        <f t="shared" si="17"/>
        <v>2170.9675991774293</v>
      </c>
      <c r="J38" s="47">
        <v>2170.9675991774293</v>
      </c>
      <c r="K38" s="47">
        <v>0</v>
      </c>
      <c r="L38" s="48">
        <f t="shared" si="15"/>
        <v>2170.9675991774293</v>
      </c>
      <c r="M38" s="47">
        <v>2170.9675991774293</v>
      </c>
      <c r="N38" s="47">
        <v>0</v>
      </c>
      <c r="O38" s="48">
        <f t="shared" si="16"/>
        <v>2170.9675991774293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1112019.7043047557</v>
      </c>
      <c r="E40" s="51">
        <f>E38+E37+E32+E31+E39</f>
        <v>0</v>
      </c>
      <c r="F40" s="52">
        <f t="shared" si="13"/>
        <v>1112019.7043047557</v>
      </c>
      <c r="G40" s="51">
        <f>G38+G37+G32+G31+G39</f>
        <v>973989.10980447801</v>
      </c>
      <c r="H40" s="51">
        <f>H38+H37+H32+H31+H39</f>
        <v>0</v>
      </c>
      <c r="I40" s="52">
        <f t="shared" si="17"/>
        <v>973989.10980447801</v>
      </c>
      <c r="J40" s="51">
        <f>J38+J37+J32+J31+J39</f>
        <v>949899.93645405537</v>
      </c>
      <c r="K40" s="51">
        <f>K38+K37+K32+K31+K39</f>
        <v>0</v>
      </c>
      <c r="L40" s="52">
        <f t="shared" si="15"/>
        <v>949899.93645405537</v>
      </c>
      <c r="M40" s="51">
        <f>M38+M37+M32+M31+M39</f>
        <v>889036.9059071613</v>
      </c>
      <c r="N40" s="51">
        <f>N38+N37+N32+N31+N39</f>
        <v>0</v>
      </c>
      <c r="O40" s="52">
        <f t="shared" si="16"/>
        <v>889036.9059071613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25502.72817152525</v>
      </c>
      <c r="E42" s="22">
        <v>0</v>
      </c>
      <c r="F42" s="36">
        <f t="shared" si="13"/>
        <v>25502.72817152525</v>
      </c>
      <c r="G42" s="22">
        <v>48053.372053099025</v>
      </c>
      <c r="H42" s="22">
        <v>0</v>
      </c>
      <c r="I42" s="36">
        <f t="shared" si="17"/>
        <v>48053.372053099025</v>
      </c>
      <c r="J42" s="22">
        <v>48053.372053099025</v>
      </c>
      <c r="K42" s="22">
        <v>0</v>
      </c>
      <c r="L42" s="36">
        <f t="shared" si="15"/>
        <v>48053.372053099025</v>
      </c>
      <c r="M42" s="22">
        <v>48053.372053099025</v>
      </c>
      <c r="N42" s="22">
        <v>0</v>
      </c>
      <c r="O42" s="36">
        <f t="shared" si="16"/>
        <v>48053.372053099025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181">
        <f>-230117.813427367/2</f>
        <v>-115058.90671368349</v>
      </c>
      <c r="E44" s="57">
        <v>0</v>
      </c>
      <c r="F44" s="36">
        <f t="shared" si="13"/>
        <v>-115058.90671368349</v>
      </c>
      <c r="G44" s="57">
        <v>16878.763143221149</v>
      </c>
      <c r="H44" s="57">
        <v>0</v>
      </c>
      <c r="I44" s="36">
        <f t="shared" si="17"/>
        <v>16878.763143221149</v>
      </c>
      <c r="J44" s="180">
        <f>107943.45/2</f>
        <v>53971.724999999999</v>
      </c>
      <c r="K44" s="57">
        <v>0</v>
      </c>
      <c r="L44" s="36">
        <f t="shared" si="15"/>
        <v>53971.724999999999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2664864.0910905693</v>
      </c>
      <c r="E47" s="59">
        <f>E25+E30+E40+E41+E42+E43+E44+E45</f>
        <v>0</v>
      </c>
      <c r="F47" s="60">
        <f>D47+E47</f>
        <v>2664864.0910905693</v>
      </c>
      <c r="G47" s="59">
        <f>G25+G30+G40+G41+G42+G43+G44+G46</f>
        <v>2745921.8784670392</v>
      </c>
      <c r="H47" s="59">
        <f>H25+H30+H40+H41+H42+H43+H44+H45+H46</f>
        <v>0</v>
      </c>
      <c r="I47" s="60">
        <f>G47+H47</f>
        <v>2745921.8784670392</v>
      </c>
      <c r="J47" s="59">
        <f>J25+J30+J40+J41+J42+J43+J44+J46</f>
        <v>2758925.6669733957</v>
      </c>
      <c r="K47" s="59">
        <f>K25+K30+K40+K41+K42+K43+K44+K45+K46</f>
        <v>0</v>
      </c>
      <c r="L47" s="60">
        <f>J47+K47</f>
        <v>2758925.6669733957</v>
      </c>
      <c r="M47" s="59">
        <f>M25+M30+M40+M41+M42+M43+M44+M46</f>
        <v>2644090.9114265018</v>
      </c>
      <c r="N47" s="59">
        <f>N25+N30+N40+N41+N42+N43+N44+N45+N46</f>
        <v>0</v>
      </c>
      <c r="O47" s="60">
        <f>M47+N47</f>
        <v>2644090.9114265018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5798103.5959717967</v>
      </c>
      <c r="E49" s="65">
        <v>0</v>
      </c>
      <c r="F49" s="65">
        <f>D49+E49</f>
        <v>5798103.5959717967</v>
      </c>
      <c r="G49" s="65">
        <f>G50</f>
        <v>6109967.0769499782</v>
      </c>
      <c r="H49" s="65">
        <v>0</v>
      </c>
      <c r="I49" s="65">
        <f t="shared" ref="I49" si="21">G49+H49</f>
        <v>6109967.0769499782</v>
      </c>
      <c r="J49" s="65">
        <f>J50</f>
        <v>6176942.5904563349</v>
      </c>
      <c r="K49" s="65">
        <v>0</v>
      </c>
      <c r="L49" s="65">
        <f t="shared" ref="L49" si="22">J49+K49</f>
        <v>6176942.5904563349</v>
      </c>
      <c r="M49" s="65">
        <f>M50</f>
        <v>6008136.1099094413</v>
      </c>
      <c r="N49" s="65">
        <v>0</v>
      </c>
      <c r="O49" s="65">
        <f t="shared" ref="O49" si="23">M49+N49</f>
        <v>6008136.1099094413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5792162.0153015638</v>
      </c>
      <c r="E50" s="59">
        <f t="shared" si="24"/>
        <v>0</v>
      </c>
      <c r="F50" s="59">
        <f t="shared" si="24"/>
        <v>5792162.0153015638</v>
      </c>
      <c r="G50" s="59">
        <f>+G23+G47</f>
        <v>6109967.0769499782</v>
      </c>
      <c r="H50" s="59">
        <f t="shared" si="24"/>
        <v>0</v>
      </c>
      <c r="I50" s="59">
        <f t="shared" si="24"/>
        <v>6109967.0769499782</v>
      </c>
      <c r="J50" s="59">
        <f t="shared" si="24"/>
        <v>6176942.5904563349</v>
      </c>
      <c r="K50" s="59">
        <f>+K23+K47</f>
        <v>0</v>
      </c>
      <c r="L50" s="59">
        <f t="shared" si="24"/>
        <v>6176942.5904563349</v>
      </c>
      <c r="M50" s="59">
        <f>+M23+M47</f>
        <v>6008136.1099094413</v>
      </c>
      <c r="N50" s="59">
        <f t="shared" si="24"/>
        <v>0</v>
      </c>
      <c r="O50" s="59">
        <f t="shared" si="24"/>
        <v>6008136.1099094413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D20+D44</f>
        <v>-230117.81342736699</v>
      </c>
      <c r="E51" s="68"/>
      <c r="F51" s="146"/>
      <c r="G51" s="68">
        <f>G20+G44</f>
        <v>16878.763143221149</v>
      </c>
      <c r="H51" s="68"/>
      <c r="I51" s="146"/>
      <c r="J51" s="68">
        <f>J20+J44</f>
        <v>107943.45</v>
      </c>
      <c r="K51" s="68"/>
      <c r="L51" s="146"/>
      <c r="M51" s="68">
        <f>M20+M44</f>
        <v>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0.84130000000000005</v>
      </c>
      <c r="G53" s="72"/>
      <c r="H53" s="73"/>
      <c r="I53" s="74">
        <v>0.84130000000000005</v>
      </c>
      <c r="J53" s="72"/>
      <c r="K53" s="73"/>
      <c r="L53" s="74">
        <v>0.84130000000000005</v>
      </c>
      <c r="M53" s="72"/>
      <c r="N53" s="73"/>
      <c r="O53" s="74">
        <v>0.84130000000000005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14921.659</v>
      </c>
      <c r="G54" s="34"/>
      <c r="H54" s="76"/>
      <c r="I54" s="77">
        <v>14921.659</v>
      </c>
      <c r="J54" s="34"/>
      <c r="K54" s="76"/>
      <c r="L54" s="77">
        <v>14921.659</v>
      </c>
      <c r="M54" s="34"/>
      <c r="N54" s="76"/>
      <c r="O54" s="77">
        <v>14921.659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41.224375300075685</v>
      </c>
      <c r="G55" s="34"/>
      <c r="H55" s="76"/>
      <c r="I55" s="78">
        <v>38.427009751513403</v>
      </c>
      <c r="J55" s="34"/>
      <c r="K55" s="76"/>
      <c r="L55" s="78">
        <v>38.383679372046608</v>
      </c>
      <c r="M55" s="34"/>
      <c r="N55" s="76"/>
      <c r="O55" s="78">
        <v>40.778136900248562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33.485635401003016</v>
      </c>
      <c r="G56" s="81"/>
      <c r="H56" s="82"/>
      <c r="I56" s="78">
        <v>33.485635401003016</v>
      </c>
      <c r="J56" s="81"/>
      <c r="K56" s="82"/>
      <c r="L56" s="78">
        <v>33.485635401003016</v>
      </c>
      <c r="M56" s="81"/>
      <c r="N56" s="82"/>
      <c r="O56" s="78">
        <v>33.485635401003016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-5.5505060007958684E-2</v>
      </c>
      <c r="G60" s="90"/>
      <c r="H60" s="76"/>
      <c r="I60" s="89">
        <v>-5.5505060007958684E-2</v>
      </c>
      <c r="J60" s="34"/>
      <c r="K60" s="91"/>
      <c r="L60" s="89">
        <v>-5.5505060007958684E-2</v>
      </c>
      <c r="M60" s="34"/>
      <c r="N60" s="76"/>
      <c r="O60" s="89">
        <v>-5.5505060007958684E-2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-5.5505060007958684E-2</v>
      </c>
      <c r="G61" s="90"/>
      <c r="H61" s="76"/>
      <c r="I61" s="92">
        <v>-5.5505060007958684E-2</v>
      </c>
      <c r="J61" s="34"/>
      <c r="K61" s="76"/>
      <c r="L61" s="93">
        <v>-5.5505060007958684E-2</v>
      </c>
      <c r="M61" s="34"/>
      <c r="N61" s="76"/>
      <c r="O61" s="92">
        <v>-5.5505060007958684E-2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0.94449493999204126</v>
      </c>
      <c r="G62" s="95"/>
      <c r="H62" s="82"/>
      <c r="I62" s="94">
        <v>0.94449493999204126</v>
      </c>
      <c r="J62" s="81"/>
      <c r="K62" s="82"/>
      <c r="L62" s="94">
        <v>0.94449493999204126</v>
      </c>
      <c r="M62" s="81"/>
      <c r="N62" s="82"/>
      <c r="O62" s="94">
        <v>0.94449493999204126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5792162.0153015638</v>
      </c>
      <c r="G72" s="34"/>
      <c r="H72" s="76"/>
      <c r="I72" s="108">
        <f>I50</f>
        <v>6109967.0769499782</v>
      </c>
      <c r="J72" s="34"/>
      <c r="K72" s="76"/>
      <c r="L72" s="108">
        <f>L50</f>
        <v>6176942.5904563349</v>
      </c>
      <c r="M72" s="34"/>
      <c r="N72" s="76"/>
      <c r="O72" s="108">
        <f>O50</f>
        <v>6008136.1099094413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3521953.9258140917</v>
      </c>
      <c r="G73" s="34"/>
      <c r="H73" s="76"/>
      <c r="I73" s="110">
        <f>F81</f>
        <v>3127297.9242109945</v>
      </c>
      <c r="J73" s="34"/>
      <c r="K73" s="76"/>
      <c r="L73" s="110">
        <f>I81</f>
        <v>3364045.198482939</v>
      </c>
      <c r="M73" s="34"/>
      <c r="N73" s="76"/>
      <c r="O73" s="110">
        <f>L81</f>
        <v>3418016.9234829391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2211993.4332034853</v>
      </c>
      <c r="G74" s="34"/>
      <c r="H74" s="76"/>
      <c r="I74" s="110">
        <f>F82</f>
        <v>2664864.0910905693</v>
      </c>
      <c r="J74" s="34"/>
      <c r="K74" s="76"/>
      <c r="L74" s="110">
        <f>I82</f>
        <v>2745921.8784670392</v>
      </c>
      <c r="M74" s="34"/>
      <c r="N74" s="76"/>
      <c r="O74" s="110">
        <f>L82</f>
        <v>2758925.6669733957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5733947.359017577</v>
      </c>
      <c r="G75" s="34"/>
      <c r="H75" s="76"/>
      <c r="I75" s="111">
        <f>SUM(I73:I74)</f>
        <v>5792162.0153015638</v>
      </c>
      <c r="J75" s="34"/>
      <c r="K75" s="76"/>
      <c r="L75" s="111">
        <f>SUM(L73:L74)</f>
        <v>6109967.0769499782</v>
      </c>
      <c r="M75" s="34"/>
      <c r="N75" s="76"/>
      <c r="O75" s="111">
        <f>SUM(O73:O74)</f>
        <v>6176942.5904563349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1.0101526317977849</v>
      </c>
      <c r="G76" s="81"/>
      <c r="H76" s="82"/>
      <c r="I76" s="112">
        <f>I72/I75</f>
        <v>1.0548681236486215</v>
      </c>
      <c r="J76" s="81"/>
      <c r="K76" s="82"/>
      <c r="L76" s="112">
        <f>L72/L75</f>
        <v>1.0109616815709244</v>
      </c>
      <c r="M76" s="81"/>
      <c r="N76" s="82"/>
      <c r="O76" s="112">
        <f>O72/O75</f>
        <v>0.97267151538566876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5792162.0153015638</v>
      </c>
      <c r="G78" s="73"/>
      <c r="H78" s="73"/>
      <c r="I78" s="115">
        <f>IF(I72&lt;=I75*I71,I72,I75*I71)</f>
        <v>6109967.0769499782</v>
      </c>
      <c r="J78" s="73"/>
      <c r="K78" s="73"/>
      <c r="L78" s="115">
        <f>IF(L72&lt;=L75*L71,L72,L75*L71)</f>
        <v>6176942.5904563349</v>
      </c>
      <c r="M78" s="73"/>
      <c r="N78" s="73"/>
      <c r="O78" s="115">
        <f>IF(O72&lt;=O75*O71,O72,O75*O71)</f>
        <v>6008136.1099094413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3127297.9242109945</v>
      </c>
      <c r="E81" s="120">
        <f>E23</f>
        <v>0</v>
      </c>
      <c r="F81" s="115">
        <f>D81+E81</f>
        <v>3127297.9242109945</v>
      </c>
      <c r="G81" s="119">
        <f>G23-I79</f>
        <v>3364045.198482939</v>
      </c>
      <c r="H81" s="120">
        <f>H23</f>
        <v>0</v>
      </c>
      <c r="I81" s="115">
        <f>G81+H81</f>
        <v>3364045.198482939</v>
      </c>
      <c r="J81" s="119">
        <f>J23-L79</f>
        <v>3418016.9234829391</v>
      </c>
      <c r="K81" s="120">
        <f>K23</f>
        <v>0</v>
      </c>
      <c r="L81" s="115">
        <f>J81+K81</f>
        <v>3418016.9234829391</v>
      </c>
      <c r="M81" s="119">
        <f>M23-O79</f>
        <v>3364045.198482939</v>
      </c>
      <c r="N81" s="120">
        <f>N23</f>
        <v>0</v>
      </c>
      <c r="O81" s="115">
        <f>M81+N81</f>
        <v>3364045.198482939</v>
      </c>
    </row>
    <row r="82" spans="1:52" s="14" customFormat="1" ht="20" customHeight="1" thickBot="1">
      <c r="B82" s="118" t="s">
        <v>72</v>
      </c>
      <c r="D82" s="121">
        <f>D50-D81-F79</f>
        <v>2664864.0910905693</v>
      </c>
      <c r="E82" s="122">
        <f>E50-E81</f>
        <v>0</v>
      </c>
      <c r="F82" s="123">
        <f>D82+E82</f>
        <v>2664864.0910905693</v>
      </c>
      <c r="G82" s="121">
        <f>G49-G81-I79</f>
        <v>2745921.8784670392</v>
      </c>
      <c r="H82" s="122">
        <f>H50-H81</f>
        <v>0</v>
      </c>
      <c r="I82" s="123">
        <f>G82+H82</f>
        <v>2745921.8784670392</v>
      </c>
      <c r="J82" s="121">
        <f>J50-J81-L79</f>
        <v>2758925.6669733957</v>
      </c>
      <c r="K82" s="122">
        <f>K50-K81</f>
        <v>0</v>
      </c>
      <c r="L82" s="123">
        <f>J82+K82</f>
        <v>2758925.6669733957</v>
      </c>
      <c r="M82" s="121">
        <f>M49-M81-O79</f>
        <v>2644090.9114265023</v>
      </c>
      <c r="N82" s="122">
        <f>N50-N81</f>
        <v>0</v>
      </c>
      <c r="O82" s="123">
        <f>M82+N82</f>
        <v>2644090.9114265023</v>
      </c>
    </row>
    <row r="83" spans="1:52" s="124" customFormat="1" ht="17.25" customHeight="1" thickBot="1">
      <c r="B83" s="125" t="s">
        <v>73</v>
      </c>
      <c r="C83" s="14"/>
      <c r="D83" s="126">
        <f>SUM(D81:D82)</f>
        <v>5792162.0153015638</v>
      </c>
      <c r="E83" s="127">
        <f t="shared" ref="E83:O83" si="25">SUM(E81:E82)</f>
        <v>0</v>
      </c>
      <c r="F83" s="128">
        <f t="shared" si="25"/>
        <v>5792162.0153015638</v>
      </c>
      <c r="G83" s="126">
        <f t="shared" si="25"/>
        <v>6109967.0769499782</v>
      </c>
      <c r="H83" s="127">
        <f t="shared" si="25"/>
        <v>0</v>
      </c>
      <c r="I83" s="128">
        <f t="shared" si="25"/>
        <v>6109967.0769499782</v>
      </c>
      <c r="J83" s="126">
        <f t="shared" si="25"/>
        <v>6176942.5904563349</v>
      </c>
      <c r="K83" s="127">
        <f t="shared" si="25"/>
        <v>0</v>
      </c>
      <c r="L83" s="128">
        <f t="shared" si="25"/>
        <v>6176942.5904563349</v>
      </c>
      <c r="M83" s="126">
        <f t="shared" si="25"/>
        <v>6008136.1099094413</v>
      </c>
      <c r="N83" s="127">
        <f t="shared" si="25"/>
        <v>0</v>
      </c>
      <c r="O83" s="128">
        <f t="shared" si="25"/>
        <v>6008136.1099094413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3127297.9242109945</v>
      </c>
      <c r="G88" s="72"/>
      <c r="H88" s="73"/>
      <c r="I88" s="136">
        <f>I81-I85</f>
        <v>3364045.198482939</v>
      </c>
      <c r="J88" s="72"/>
      <c r="K88" s="73"/>
      <c r="L88" s="136">
        <f>L81-L85</f>
        <v>3418016.9234829391</v>
      </c>
      <c r="M88" s="72"/>
      <c r="N88" s="73"/>
      <c r="O88" s="136">
        <f>O81-O85</f>
        <v>3364045.198482939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2664864.0910905693</v>
      </c>
      <c r="G89" s="34"/>
      <c r="H89" s="76"/>
      <c r="I89" s="138">
        <f>I82-I86</f>
        <v>2745921.8784670392</v>
      </c>
      <c r="J89" s="34"/>
      <c r="K89" s="76"/>
      <c r="L89" s="138">
        <f>L82-L86</f>
        <v>2758925.6669733957</v>
      </c>
      <c r="M89" s="34"/>
      <c r="N89" s="76"/>
      <c r="O89" s="138">
        <f>O82-O86</f>
        <v>2644090.9114265023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5792162.0153015638</v>
      </c>
      <c r="G90" s="81"/>
      <c r="H90" s="82"/>
      <c r="I90" s="139">
        <f>+I88+I89</f>
        <v>6109967.0769499782</v>
      </c>
      <c r="J90" s="81"/>
      <c r="K90" s="82"/>
      <c r="L90" s="139">
        <f>+L88+L89</f>
        <v>6176942.5904563349</v>
      </c>
      <c r="M90" s="81"/>
      <c r="N90" s="82"/>
      <c r="O90" s="139">
        <f>+O88+O89</f>
        <v>6008136.1099094413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-883.69751770285075</v>
      </c>
      <c r="E92" s="143">
        <v>0</v>
      </c>
      <c r="F92" s="144">
        <f>D92+E92</f>
        <v>-883.69751770285075</v>
      </c>
      <c r="G92" s="142">
        <v>-41892.448722597692</v>
      </c>
      <c r="H92" s="143">
        <v>0</v>
      </c>
      <c r="I92" s="144">
        <f>G92+H92</f>
        <v>-41892.448722597692</v>
      </c>
      <c r="J92" s="142">
        <v>-41892.448722597692</v>
      </c>
      <c r="K92" s="143">
        <v>0</v>
      </c>
      <c r="L92" s="144">
        <f>J92+K92</f>
        <v>-41892.448722597692</v>
      </c>
      <c r="M92" s="142">
        <v>-41892.448722597692</v>
      </c>
      <c r="N92" s="143">
        <v>0</v>
      </c>
      <c r="O92" s="144">
        <f>M92+N92</f>
        <v>-41892.448722597692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6213046.14244112</v>
      </c>
      <c r="E96" s="166">
        <f>E6+E7+E8+E9+E11+E25+E30+E40+E42+E21+E45</f>
        <v>0</v>
      </c>
      <c r="F96" s="166">
        <f t="shared" ref="F96" si="26">F6+F7+F8+F9+F11+F25+F30+F40+F42</f>
        <v>6213046.14244112</v>
      </c>
      <c r="G96" s="166">
        <f t="shared" ref="G96" si="27">G6+G7+G8+G9+G11+G25+G30+G40+G42+G21+G45</f>
        <v>6283664.0517809717</v>
      </c>
      <c r="H96" s="166">
        <f t="shared" ref="H96" si="28">H6+H7+H8+H9+H11+H25+H30+H40+H42</f>
        <v>0</v>
      </c>
      <c r="I96" s="166">
        <f t="shared" ref="I96" si="29">I6+I7+I8+I9+I11+I25+I30+I40+I42+I21+I45</f>
        <v>6283664.0517809717</v>
      </c>
      <c r="J96" s="166">
        <f t="shared" ref="J96" si="30">J6+J7+J8+J9+J11+J25+J30+J40+J42</f>
        <v>6259574.8784305481</v>
      </c>
      <c r="K96" s="166">
        <f t="shared" ref="K96" si="31">K6+K7+K8+K9+K11+K25+K30+K40+K42+K21+K45</f>
        <v>0</v>
      </c>
      <c r="L96" s="166">
        <f t="shared" ref="L96" si="32">L6+L7+L8+L9+L11+L25+L30+L40+L42</f>
        <v>6259574.8784305481</v>
      </c>
      <c r="M96" s="166">
        <f t="shared" ref="M96" si="33">M6+M7+M8+M9+M11+M25+M30+M40+M42+M21+M45</f>
        <v>6198711.8478836548</v>
      </c>
      <c r="N96" s="166">
        <f t="shared" ref="N96" si="34">N6+N7+N8+N9+N11+N25+N30+N40+N42</f>
        <v>0</v>
      </c>
      <c r="O96" s="166">
        <f t="shared" ref="O96" si="35">O6+O7+O8+O9+O11+O25+O30+O40+O42+O21+O45</f>
        <v>6198711.8478836548</v>
      </c>
    </row>
    <row r="97" spans="4:15" s="14" customFormat="1">
      <c r="D97" s="166">
        <f>D96-D15-D19</f>
        <v>6022279.828728932</v>
      </c>
      <c r="E97" s="166">
        <f>E96-E15-E19</f>
        <v>0</v>
      </c>
      <c r="F97" s="166">
        <f t="shared" ref="F97:O97" si="36">F96-F15-F19</f>
        <v>6022279.828728932</v>
      </c>
      <c r="G97" s="166">
        <f t="shared" si="36"/>
        <v>6093088.3138067583</v>
      </c>
      <c r="H97" s="166">
        <f t="shared" si="36"/>
        <v>0</v>
      </c>
      <c r="I97" s="166">
        <f t="shared" si="36"/>
        <v>6093088.3138067583</v>
      </c>
      <c r="J97" s="166">
        <f t="shared" si="36"/>
        <v>6068999.1404563347</v>
      </c>
      <c r="K97" s="166">
        <f t="shared" si="36"/>
        <v>0</v>
      </c>
      <c r="L97" s="166">
        <f t="shared" si="36"/>
        <v>6068999.1404563347</v>
      </c>
      <c r="M97" s="166">
        <f t="shared" si="36"/>
        <v>6008136.1099094413</v>
      </c>
      <c r="N97" s="166">
        <f t="shared" si="36"/>
        <v>0</v>
      </c>
      <c r="O97" s="166">
        <f t="shared" si="36"/>
        <v>6008136.1099094413</v>
      </c>
    </row>
    <row r="98" spans="4:15" s="14" customFormat="1">
      <c r="D98" s="166">
        <f>D20+D44</f>
        <v>-230117.81342736699</v>
      </c>
      <c r="E98" s="166">
        <f>E20+E44</f>
        <v>0</v>
      </c>
      <c r="F98" s="166">
        <f t="shared" ref="F98:O98" si="37">F20+F44</f>
        <v>-230117.81342736699</v>
      </c>
      <c r="G98" s="166">
        <f t="shared" si="37"/>
        <v>16878.763143221149</v>
      </c>
      <c r="H98" s="166">
        <f t="shared" si="37"/>
        <v>0</v>
      </c>
      <c r="I98" s="166">
        <f t="shared" si="37"/>
        <v>16878.763143221149</v>
      </c>
      <c r="J98" s="166">
        <f t="shared" si="37"/>
        <v>107943.45</v>
      </c>
      <c r="K98" s="166">
        <f t="shared" si="37"/>
        <v>0</v>
      </c>
      <c r="L98" s="166">
        <f t="shared" si="37"/>
        <v>107943.45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31" priority="7" operator="containsText" text="ERRORE">
      <formula>NOT(ISERROR(SEARCH("ERRORE",F81)))</formula>
    </cfRule>
  </conditionalFormatting>
  <conditionalFormatting sqref="I83">
    <cfRule type="containsText" dxfId="130" priority="6" operator="containsText" text="ERRORE">
      <formula>NOT(ISERROR(SEARCH("ERRORE",I83)))</formula>
    </cfRule>
  </conditionalFormatting>
  <conditionalFormatting sqref="I81:I82">
    <cfRule type="containsText" dxfId="129" priority="5" operator="containsText" text="ERRORE">
      <formula>NOT(ISERROR(SEARCH("ERRORE",I81)))</formula>
    </cfRule>
  </conditionalFormatting>
  <conditionalFormatting sqref="L83">
    <cfRule type="containsText" dxfId="128" priority="4" operator="containsText" text="ERRORE">
      <formula>NOT(ISERROR(SEARCH("ERRORE",L83)))</formula>
    </cfRule>
  </conditionalFormatting>
  <conditionalFormatting sqref="L81:L82">
    <cfRule type="containsText" dxfId="127" priority="3" operator="containsText" text="ERRORE">
      <formula>NOT(ISERROR(SEARCH("ERRORE",L81)))</formula>
    </cfRule>
  </conditionalFormatting>
  <conditionalFormatting sqref="O83">
    <cfRule type="containsText" dxfId="126" priority="2" operator="containsText" text="ERRORE">
      <formula>NOT(ISERROR(SEARCH("ERRORE",O83)))</formula>
    </cfRule>
  </conditionalFormatting>
  <conditionalFormatting sqref="O81:O82">
    <cfRule type="containsText" dxfId="125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C67" zoomScale="70" zoomScaleNormal="70" zoomScalePageLayoutView="70" workbookViewId="0">
      <selection activeCell="I83" sqref="I83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100</v>
      </c>
      <c r="B1" s="2" t="str">
        <f>"       PEF 2022 - 2025"&amp;" - "&amp;A1</f>
        <v xml:space="preserve">       PEF 2022 - 2025 - Mirano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139</v>
      </c>
      <c r="E4" s="188"/>
      <c r="F4" s="189"/>
      <c r="G4" s="187" t="str">
        <f>D4</f>
        <v>Ambito tariffario: Mirano</v>
      </c>
      <c r="H4" s="188"/>
      <c r="I4" s="189"/>
      <c r="J4" s="187" t="str">
        <f>D4</f>
        <v>Ambito tariffario: Mirano</v>
      </c>
      <c r="K4" s="188"/>
      <c r="L4" s="189"/>
      <c r="M4" s="187" t="str">
        <f>D4</f>
        <v>Ambito tariffario: Mirano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289635.06013859081</v>
      </c>
      <c r="E6" s="22">
        <v>0</v>
      </c>
      <c r="F6" s="23">
        <f>D6+E6</f>
        <v>289635.06013859081</v>
      </c>
      <c r="G6" s="22">
        <v>315212.28734351427</v>
      </c>
      <c r="H6" s="22">
        <v>0</v>
      </c>
      <c r="I6" s="23">
        <f>G6+H6</f>
        <v>315212.28734351427</v>
      </c>
      <c r="J6" s="22">
        <v>315212.28734351427</v>
      </c>
      <c r="K6" s="22">
        <v>0</v>
      </c>
      <c r="L6" s="23">
        <f>J6+K6</f>
        <v>315212.28734351427</v>
      </c>
      <c r="M6" s="22">
        <v>315212.28734351427</v>
      </c>
      <c r="N6" s="22">
        <v>0</v>
      </c>
      <c r="O6" s="23">
        <f>M6+N6</f>
        <v>315212.28734351427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544685.29326002556</v>
      </c>
      <c r="E7" s="22">
        <v>0</v>
      </c>
      <c r="F7" s="23">
        <f t="shared" ref="F7:F20" si="0">D7+E7</f>
        <v>544685.29326002556</v>
      </c>
      <c r="G7" s="22">
        <v>570166.48415688472</v>
      </c>
      <c r="H7" s="22">
        <v>0</v>
      </c>
      <c r="I7" s="23">
        <f t="shared" ref="I7:I13" si="1">G7+H7</f>
        <v>570166.48415688472</v>
      </c>
      <c r="J7" s="22">
        <v>570166.48415688472</v>
      </c>
      <c r="K7" s="22">
        <v>0</v>
      </c>
      <c r="L7" s="23">
        <f t="shared" ref="L7:L12" si="2">J7+K7</f>
        <v>570166.48415688472</v>
      </c>
      <c r="M7" s="22">
        <v>570166.48415688472</v>
      </c>
      <c r="N7" s="22">
        <v>0</v>
      </c>
      <c r="O7" s="23">
        <f t="shared" ref="O7:O13" si="3">M7+N7</f>
        <v>570166.48415688472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652936.90035014774</v>
      </c>
      <c r="E8" s="22">
        <v>0</v>
      </c>
      <c r="F8" s="23">
        <f t="shared" si="0"/>
        <v>652936.90035014774</v>
      </c>
      <c r="G8" s="22">
        <v>683498.27590966539</v>
      </c>
      <c r="H8" s="22">
        <v>0</v>
      </c>
      <c r="I8" s="23">
        <f t="shared" si="1"/>
        <v>683498.27590966539</v>
      </c>
      <c r="J8" s="22">
        <v>683498.27590966539</v>
      </c>
      <c r="K8" s="22">
        <v>0</v>
      </c>
      <c r="L8" s="23">
        <f t="shared" si="2"/>
        <v>683498.27590966539</v>
      </c>
      <c r="M8" s="22">
        <v>683498.27590966539</v>
      </c>
      <c r="N8" s="22">
        <v>0</v>
      </c>
      <c r="O8" s="23">
        <f t="shared" si="3"/>
        <v>683498.27590966539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745223.28427964321</v>
      </c>
      <c r="E9" s="22">
        <v>0</v>
      </c>
      <c r="F9" s="23">
        <f t="shared" si="0"/>
        <v>745223.28427964321</v>
      </c>
      <c r="G9" s="22">
        <v>710453.62961702212</v>
      </c>
      <c r="H9" s="22">
        <v>0</v>
      </c>
      <c r="I9" s="23">
        <f t="shared" si="1"/>
        <v>710453.62961702212</v>
      </c>
      <c r="J9" s="22">
        <v>710453.62961702212</v>
      </c>
      <c r="K9" s="22">
        <v>0</v>
      </c>
      <c r="L9" s="23">
        <f t="shared" si="2"/>
        <v>710453.62961702212</v>
      </c>
      <c r="M9" s="22">
        <v>710453.62961702212</v>
      </c>
      <c r="N9" s="22">
        <v>0</v>
      </c>
      <c r="O9" s="23">
        <f t="shared" si="3"/>
        <v>710453.62961702212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10954.311917497114</v>
      </c>
      <c r="E11" s="22">
        <v>0</v>
      </c>
      <c r="F11" s="23">
        <f t="shared" si="0"/>
        <v>10954.311917497114</v>
      </c>
      <c r="G11" s="22">
        <v>10954.311917497114</v>
      </c>
      <c r="H11" s="22">
        <v>0</v>
      </c>
      <c r="I11" s="23">
        <f t="shared" si="1"/>
        <v>10954.311917497114</v>
      </c>
      <c r="J11" s="22">
        <v>10954.311917497114</v>
      </c>
      <c r="K11" s="22">
        <v>0</v>
      </c>
      <c r="L11" s="23">
        <f t="shared" si="2"/>
        <v>10954.311917497114</v>
      </c>
      <c r="M11" s="22">
        <v>10954.311917497114</v>
      </c>
      <c r="N11" s="22">
        <v>0</v>
      </c>
      <c r="O11" s="23">
        <f t="shared" si="3"/>
        <v>10954.311917497114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297228.79718949914</v>
      </c>
      <c r="E13" s="22">
        <v>0</v>
      </c>
      <c r="F13" s="23">
        <f t="shared" si="0"/>
        <v>297228.79718949914</v>
      </c>
      <c r="G13" s="22">
        <v>296931.86532417499</v>
      </c>
      <c r="H13" s="22">
        <v>0</v>
      </c>
      <c r="I13" s="23">
        <f t="shared" si="1"/>
        <v>296931.86532417499</v>
      </c>
      <c r="J13" s="22">
        <v>296931.86532417499</v>
      </c>
      <c r="K13" s="22">
        <v>0</v>
      </c>
      <c r="L13" s="23">
        <f>J13+K13</f>
        <v>296931.86532417499</v>
      </c>
      <c r="M13" s="22">
        <v>296931.86532417499</v>
      </c>
      <c r="N13" s="22">
        <v>0</v>
      </c>
      <c r="O13" s="23">
        <f t="shared" si="3"/>
        <v>296931.86532417499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178337.27831369947</v>
      </c>
      <c r="E15" s="22">
        <v>0</v>
      </c>
      <c r="F15" s="23">
        <f t="shared" si="0"/>
        <v>178337.27831369947</v>
      </c>
      <c r="G15" s="22">
        <v>178159.11919450498</v>
      </c>
      <c r="H15" s="22">
        <v>0</v>
      </c>
      <c r="I15" s="23">
        <f t="shared" ref="I15:I16" si="4">G15+H15</f>
        <v>178159.11919450498</v>
      </c>
      <c r="J15" s="22">
        <v>178159.11919450498</v>
      </c>
      <c r="K15" s="22">
        <v>0</v>
      </c>
      <c r="L15" s="23">
        <f t="shared" ref="L15:L16" si="5">J15+K15</f>
        <v>178159.11919450498</v>
      </c>
      <c r="M15" s="22">
        <v>178159.11919450498</v>
      </c>
      <c r="N15" s="22">
        <v>0</v>
      </c>
      <c r="O15" s="23">
        <f t="shared" ref="O15:O16" si="6">M15+N15</f>
        <v>178159.11919450498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79816.539610722015</v>
      </c>
      <c r="E16" s="22">
        <v>0</v>
      </c>
      <c r="F16" s="23">
        <f t="shared" si="0"/>
        <v>79816.539610722015</v>
      </c>
      <c r="G16" s="22">
        <v>79736.802807914108</v>
      </c>
      <c r="H16" s="22">
        <v>0</v>
      </c>
      <c r="I16" s="23">
        <f t="shared" si="4"/>
        <v>79736.802807914108</v>
      </c>
      <c r="J16" s="22">
        <v>79736.802807914108</v>
      </c>
      <c r="K16" s="22">
        <v>0</v>
      </c>
      <c r="L16" s="23">
        <f t="shared" si="5"/>
        <v>79736.802807914108</v>
      </c>
      <c r="M16" s="22">
        <v>79736.802807914108</v>
      </c>
      <c r="N16" s="22">
        <v>0</v>
      </c>
      <c r="O16" s="23">
        <f t="shared" si="6"/>
        <v>79736.802807914108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0.2</v>
      </c>
      <c r="E17" s="29">
        <v>0.2</v>
      </c>
      <c r="F17" s="30">
        <f>D17</f>
        <v>0.2</v>
      </c>
      <c r="G17" s="29">
        <v>0.2</v>
      </c>
      <c r="H17" s="29">
        <v>0.2</v>
      </c>
      <c r="I17" s="30">
        <f>G17</f>
        <v>0.2</v>
      </c>
      <c r="J17" s="29">
        <v>0.2</v>
      </c>
      <c r="K17" s="29">
        <v>0.2</v>
      </c>
      <c r="L17" s="30">
        <v>0.2</v>
      </c>
      <c r="M17" s="29">
        <v>0.2</v>
      </c>
      <c r="N17" s="29">
        <v>0.2</v>
      </c>
      <c r="O17" s="30">
        <f>N17</f>
        <v>0.2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0.72</v>
      </c>
      <c r="E18" s="29">
        <v>0.72</v>
      </c>
      <c r="F18" s="31">
        <f>IF(D18=E18,D18,"n.d.")</f>
        <v>0.72</v>
      </c>
      <c r="G18" s="29">
        <v>0.72</v>
      </c>
      <c r="H18" s="29">
        <v>0.72</v>
      </c>
      <c r="I18" s="31">
        <f>IF(G18=H18,G18,"n.d.")</f>
        <v>0.72</v>
      </c>
      <c r="J18" s="29">
        <v>0.72</v>
      </c>
      <c r="K18" s="29">
        <v>0.72</v>
      </c>
      <c r="L18" s="31">
        <f>IF(J18=K18,J18,"n.d.")</f>
        <v>0.72</v>
      </c>
      <c r="M18" s="29">
        <v>0.72</v>
      </c>
      <c r="N18" s="29">
        <v>0.72</v>
      </c>
      <c r="O18" s="31">
        <f>IF(M18=N18,M18,"n.d.")</f>
        <v>0.72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57467.908519719851</v>
      </c>
      <c r="E19" s="22">
        <v>0</v>
      </c>
      <c r="F19" s="23">
        <f t="shared" si="0"/>
        <v>57467.908519719851</v>
      </c>
      <c r="G19" s="22">
        <v>57410.498021698157</v>
      </c>
      <c r="H19" s="22">
        <v>0</v>
      </c>
      <c r="I19" s="23">
        <f t="shared" ref="I19:I20" si="7">G19+H19</f>
        <v>57410.498021698157</v>
      </c>
      <c r="J19" s="22">
        <v>57410.498021698157</v>
      </c>
      <c r="K19" s="22">
        <v>0</v>
      </c>
      <c r="L19" s="23">
        <f t="shared" ref="L19:L20" si="8">J19+K19</f>
        <v>57410.498021698157</v>
      </c>
      <c r="M19" s="32">
        <v>57410.498021698157</v>
      </c>
      <c r="N19" s="33">
        <v>0</v>
      </c>
      <c r="O19" s="23">
        <f t="shared" ref="O19:O20" si="9">M19+N19</f>
        <v>57410.498021698157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81989.281811968074</v>
      </c>
      <c r="E20" s="22">
        <v>0</v>
      </c>
      <c r="F20" s="23">
        <f t="shared" si="0"/>
        <v>81989.281811968074</v>
      </c>
      <c r="G20" s="22">
        <v>58568.414297294046</v>
      </c>
      <c r="H20" s="22">
        <v>0</v>
      </c>
      <c r="I20" s="23">
        <f t="shared" si="7"/>
        <v>58568.414297294046</v>
      </c>
      <c r="J20" s="22">
        <v>55515.338250000001</v>
      </c>
      <c r="K20" s="22">
        <v>0</v>
      </c>
      <c r="L20" s="23">
        <f t="shared" si="8"/>
        <v>55515.338250000001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/>
      <c r="F21" s="23">
        <f>E21</f>
        <v>0</v>
      </c>
      <c r="G21" s="34"/>
      <c r="H21" s="22"/>
      <c r="I21" s="23">
        <f>H21</f>
        <v>0</v>
      </c>
      <c r="J21" s="34"/>
      <c r="K21" s="22"/>
      <c r="L21" s="23">
        <f>K21</f>
        <v>0</v>
      </c>
      <c r="M21" s="34"/>
      <c r="N21" s="22"/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2089618.9449244533</v>
      </c>
      <c r="E23" s="38">
        <f>E6+E7+E8+E9+E10+E11+E12-E15-E19+E20+E21</f>
        <v>0</v>
      </c>
      <c r="F23" s="38">
        <f>D23+E23</f>
        <v>2089618.9449244533</v>
      </c>
      <c r="G23" s="38">
        <f>G6+G7+G8+G9+G10+G11+G12-G15-G19+G20+G22</f>
        <v>2113283.786025675</v>
      </c>
      <c r="H23" s="38">
        <f>H6+H7+H8+H9+H10+H11+H12-H15-H19+H20+H21+H22</f>
        <v>0</v>
      </c>
      <c r="I23" s="38">
        <f>G23+H23</f>
        <v>2113283.786025675</v>
      </c>
      <c r="J23" s="38">
        <f>J6+J7+J8+J9+J10+J11+J12-J15-J19+J20+J22</f>
        <v>2110230.7099783812</v>
      </c>
      <c r="K23" s="38">
        <f>K6+K7+K8+K9+K10+K11+K12-K15-K19+K20+K21+K22</f>
        <v>0</v>
      </c>
      <c r="L23" s="38">
        <f>J23+K23</f>
        <v>2110230.7099783812</v>
      </c>
      <c r="M23" s="38">
        <f>M6+M7+M8+M9+M10+M11+M12-M15-M19+M20+M22</f>
        <v>2054715.3717283811</v>
      </c>
      <c r="N23" s="38">
        <f>N6+N7+N8+N9+N10+N11+N12-N15-N19+N20+N21+N22</f>
        <v>0</v>
      </c>
      <c r="O23" s="38">
        <f>M23+N23</f>
        <v>2054715.3717283811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361402.32180930674</v>
      </c>
      <c r="E25" s="44">
        <v>0</v>
      </c>
      <c r="F25" s="45">
        <f t="shared" ref="F25:F44" si="13">D25+E25</f>
        <v>361402.32180930674</v>
      </c>
      <c r="G25" s="44">
        <v>377758.30759646307</v>
      </c>
      <c r="H25" s="44">
        <v>0</v>
      </c>
      <c r="I25" s="45">
        <f t="shared" ref="I25:I33" si="14">G25+H25</f>
        <v>377758.30759646307</v>
      </c>
      <c r="J25" s="44">
        <v>377758.30759646307</v>
      </c>
      <c r="K25" s="44">
        <v>0</v>
      </c>
      <c r="L25" s="45">
        <f t="shared" ref="L25:L44" si="15">J25+K25</f>
        <v>377758.30759646307</v>
      </c>
      <c r="M25" s="44">
        <v>377758.30759646307</v>
      </c>
      <c r="N25" s="44">
        <v>0</v>
      </c>
      <c r="O25" s="45">
        <f t="shared" ref="O25:O43" si="16">M25+N25</f>
        <v>377758.30759646307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110920.16364287336</v>
      </c>
      <c r="E26" s="22">
        <v>0</v>
      </c>
      <c r="F26" s="36">
        <f t="shared" si="13"/>
        <v>110920.16364287336</v>
      </c>
      <c r="G26" s="22">
        <v>114169.48194885897</v>
      </c>
      <c r="H26" s="22">
        <v>0</v>
      </c>
      <c r="I26" s="36">
        <f t="shared" si="14"/>
        <v>114169.48194885897</v>
      </c>
      <c r="J26" s="22">
        <v>114169.48194885897</v>
      </c>
      <c r="K26" s="22">
        <v>0</v>
      </c>
      <c r="L26" s="36">
        <f t="shared" si="15"/>
        <v>114169.48194885897</v>
      </c>
      <c r="M26" s="22">
        <v>114169.48194885897</v>
      </c>
      <c r="N26" s="22">
        <v>0</v>
      </c>
      <c r="O26" s="36">
        <f t="shared" si="16"/>
        <v>114169.48194885897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282330.21561937273</v>
      </c>
      <c r="E27" s="47">
        <v>0</v>
      </c>
      <c r="F27" s="48">
        <f t="shared" si="13"/>
        <v>282330.21561937273</v>
      </c>
      <c r="G27" s="47">
        <v>293201.73192516447</v>
      </c>
      <c r="H27" s="47">
        <v>0</v>
      </c>
      <c r="I27" s="48">
        <f t="shared" si="14"/>
        <v>293201.73192516447</v>
      </c>
      <c r="J27" s="47">
        <v>293201.73192516447</v>
      </c>
      <c r="K27" s="47">
        <v>0</v>
      </c>
      <c r="L27" s="48">
        <f t="shared" si="15"/>
        <v>293201.73192516447</v>
      </c>
      <c r="M27" s="47">
        <v>293201.73192516447</v>
      </c>
      <c r="N27" s="47">
        <v>0</v>
      </c>
      <c r="O27" s="48">
        <f t="shared" si="16"/>
        <v>293201.73192516447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33027.560162835958</v>
      </c>
      <c r="E29" s="47">
        <v>0</v>
      </c>
      <c r="F29" s="48">
        <f t="shared" si="13"/>
        <v>33027.560162835958</v>
      </c>
      <c r="G29" s="47">
        <v>33264.835384082893</v>
      </c>
      <c r="H29" s="47">
        <v>0</v>
      </c>
      <c r="I29" s="48">
        <f t="shared" si="14"/>
        <v>33264.835384082893</v>
      </c>
      <c r="J29" s="47">
        <v>33264.835384082893</v>
      </c>
      <c r="K29" s="47">
        <v>0</v>
      </c>
      <c r="L29" s="48">
        <f t="shared" si="15"/>
        <v>33264.835384082893</v>
      </c>
      <c r="M29" s="47">
        <v>33264.835384082893</v>
      </c>
      <c r="N29" s="47">
        <v>0</v>
      </c>
      <c r="O29" s="48">
        <f t="shared" si="16"/>
        <v>33264.835384082893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426277.93942508206</v>
      </c>
      <c r="E30" s="51">
        <f>+E26+E27+E28+E29</f>
        <v>0</v>
      </c>
      <c r="F30" s="52">
        <f t="shared" si="13"/>
        <v>426277.93942508206</v>
      </c>
      <c r="G30" s="51">
        <f>+G26+G27+G28+G29</f>
        <v>440636.04925810627</v>
      </c>
      <c r="H30" s="51">
        <f>+H26+H27+H28+H29</f>
        <v>0</v>
      </c>
      <c r="I30" s="52">
        <f t="shared" si="14"/>
        <v>440636.04925810627</v>
      </c>
      <c r="J30" s="51">
        <f>+J26+J27+J28+J29</f>
        <v>440636.04925810627</v>
      </c>
      <c r="K30" s="51">
        <f>+K26+K27+K28+K29</f>
        <v>0</v>
      </c>
      <c r="L30" s="52">
        <f t="shared" si="15"/>
        <v>440636.04925810627</v>
      </c>
      <c r="M30" s="51">
        <f>+M26+M27+M28+M29</f>
        <v>440636.04925810627</v>
      </c>
      <c r="N30" s="51">
        <f>+N26+N27+N28+N29</f>
        <v>0</v>
      </c>
      <c r="O30" s="52">
        <f t="shared" si="16"/>
        <v>440636.04925810627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243526.36370006969</v>
      </c>
      <c r="E31" s="53">
        <v>0</v>
      </c>
      <c r="F31" s="48">
        <f t="shared" si="13"/>
        <v>243526.36370006969</v>
      </c>
      <c r="G31" s="147">
        <f>VLOOKUP($A$1,REM_ToolEnrico!$B$5:$J$38,4,FALSE)</f>
        <v>207828.66002411721</v>
      </c>
      <c r="H31" s="53">
        <v>0</v>
      </c>
      <c r="I31" s="48">
        <f t="shared" si="14"/>
        <v>207828.66002411721</v>
      </c>
      <c r="J31" s="147">
        <f>VLOOKUP($A$1,REM_ToolEnrico!$B$5:$J$38,6,FALSE)</f>
        <v>221467.57695373931</v>
      </c>
      <c r="K31" s="53">
        <v>0</v>
      </c>
      <c r="L31" s="48">
        <f t="shared" si="15"/>
        <v>221467.57695373931</v>
      </c>
      <c r="M31" s="147">
        <f>VLOOKUP($A$1,REM_ToolEnrico!$B$5:$J$38,8,FALSE)</f>
        <v>221831.84976809041</v>
      </c>
      <c r="N31" s="53">
        <v>0</v>
      </c>
      <c r="O31" s="48">
        <f t="shared" si="16"/>
        <v>221831.84976809041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227354.58657309605</v>
      </c>
      <c r="E32" s="54">
        <f>+E33+E34+E35+E36</f>
        <v>0</v>
      </c>
      <c r="F32" s="48">
        <f t="shared" si="13"/>
        <v>227354.58657309605</v>
      </c>
      <c r="G32" s="54">
        <f>+G33+G34+G35+G36</f>
        <v>227127.4591139821</v>
      </c>
      <c r="H32" s="54">
        <f>+H33+H34+H35+H36</f>
        <v>0</v>
      </c>
      <c r="I32" s="48">
        <f t="shared" si="14"/>
        <v>227127.4591139821</v>
      </c>
      <c r="J32" s="54">
        <f>+J33+J34+J35+J36</f>
        <v>227127.4591139821</v>
      </c>
      <c r="K32" s="54">
        <f>+K33+K34+K35+K36</f>
        <v>0</v>
      </c>
      <c r="L32" s="48">
        <f t="shared" si="15"/>
        <v>227127.4591139821</v>
      </c>
      <c r="M32" s="54">
        <f>+M33+M34+M35+M36</f>
        <v>227127.4591139821</v>
      </c>
      <c r="N32" s="54">
        <f>+N33+N34+N35+N36</f>
        <v>0</v>
      </c>
      <c r="O32" s="48">
        <f t="shared" si="16"/>
        <v>227127.4591139821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227354.58657309605</v>
      </c>
      <c r="E34" s="47">
        <v>0</v>
      </c>
      <c r="F34" s="48">
        <f>D34+E34</f>
        <v>227354.58657309605</v>
      </c>
      <c r="G34" s="47">
        <v>227127.4591139821</v>
      </c>
      <c r="H34" s="47">
        <v>0</v>
      </c>
      <c r="I34" s="48">
        <f>G34+H34</f>
        <v>227127.4591139821</v>
      </c>
      <c r="J34" s="47">
        <v>227127.4591139821</v>
      </c>
      <c r="K34" s="158">
        <v>0</v>
      </c>
      <c r="L34" s="48">
        <f t="shared" si="15"/>
        <v>227127.4591139821</v>
      </c>
      <c r="M34" s="47">
        <v>227127.4591139821</v>
      </c>
      <c r="N34" s="158">
        <v>0</v>
      </c>
      <c r="O34" s="48">
        <f t="shared" si="16"/>
        <v>227127.4591139821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143307.60884583584</v>
      </c>
      <c r="E37" s="47">
        <v>0</v>
      </c>
      <c r="F37" s="48">
        <f t="shared" si="13"/>
        <v>143307.60884583584</v>
      </c>
      <c r="G37" s="147">
        <f>VLOOKUP($A$1,REM_ToolEnrico!$B$5:$J$38,5,FALSE)</f>
        <v>141133.96912405844</v>
      </c>
      <c r="H37" s="47">
        <v>0</v>
      </c>
      <c r="I37" s="48">
        <f t="shared" si="17"/>
        <v>141133.96912405844</v>
      </c>
      <c r="J37" s="147">
        <f>VLOOKUP($A$1,REM_ToolEnrico!$B$5:$J$38,7,FALSE)</f>
        <v>141028.19072958824</v>
      </c>
      <c r="K37" s="47">
        <v>0</v>
      </c>
      <c r="L37" s="48">
        <f t="shared" si="15"/>
        <v>141028.19072958824</v>
      </c>
      <c r="M37" s="147">
        <f>VLOOKUP($A$1,REM_ToolEnrico!$B$5:$J$38,9,FALSE)</f>
        <v>137979.78280312652</v>
      </c>
      <c r="N37" s="47">
        <v>0</v>
      </c>
      <c r="O37" s="48">
        <f t="shared" si="16"/>
        <v>137979.78280312652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1198.6995185099524</v>
      </c>
      <c r="E38" s="47">
        <v>0</v>
      </c>
      <c r="F38" s="48">
        <f t="shared" si="13"/>
        <v>1198.6995185099524</v>
      </c>
      <c r="G38" s="47">
        <v>1201.0969175469722</v>
      </c>
      <c r="H38" s="47">
        <v>0</v>
      </c>
      <c r="I38" s="48">
        <f t="shared" si="17"/>
        <v>1201.0969175469722</v>
      </c>
      <c r="J38" s="47">
        <v>1201.0969175469722</v>
      </c>
      <c r="K38" s="47">
        <v>0</v>
      </c>
      <c r="L38" s="48">
        <f t="shared" si="15"/>
        <v>1201.0969175469722</v>
      </c>
      <c r="M38" s="47">
        <v>1201.0969175469722</v>
      </c>
      <c r="N38" s="47">
        <v>0</v>
      </c>
      <c r="O38" s="48">
        <f t="shared" si="16"/>
        <v>1201.0969175469722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615387.25863751152</v>
      </c>
      <c r="E40" s="51">
        <f>E38+E37+E32+E31+E39</f>
        <v>0</v>
      </c>
      <c r="F40" s="52">
        <f t="shared" si="13"/>
        <v>615387.25863751152</v>
      </c>
      <c r="G40" s="51">
        <f>G38+G37+G32+G31+G39</f>
        <v>577291.18517970468</v>
      </c>
      <c r="H40" s="51">
        <f>H38+H37+H32+H31+H39</f>
        <v>0</v>
      </c>
      <c r="I40" s="52">
        <f t="shared" si="17"/>
        <v>577291.18517970468</v>
      </c>
      <c r="J40" s="51">
        <f>J38+J37+J32+J31+J39</f>
        <v>590824.32371485664</v>
      </c>
      <c r="K40" s="51">
        <f>K38+K37+K32+K31+K39</f>
        <v>0</v>
      </c>
      <c r="L40" s="52">
        <f t="shared" si="15"/>
        <v>590824.32371485664</v>
      </c>
      <c r="M40" s="51">
        <f>M38+M37+M32+M31+M39</f>
        <v>588140.188602746</v>
      </c>
      <c r="N40" s="51">
        <f>N38+N37+N32+N31+N39</f>
        <v>0</v>
      </c>
      <c r="O40" s="52">
        <f t="shared" si="16"/>
        <v>588140.188602746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18169.552033821881</v>
      </c>
      <c r="E42" s="22">
        <v>0</v>
      </c>
      <c r="F42" s="36">
        <f t="shared" si="13"/>
        <v>18169.552033821881</v>
      </c>
      <c r="G42" s="22">
        <v>34235.876179484316</v>
      </c>
      <c r="H42" s="22">
        <v>0</v>
      </c>
      <c r="I42" s="36">
        <f t="shared" si="17"/>
        <v>34235.876179484316</v>
      </c>
      <c r="J42" s="22">
        <v>34235.876179484316</v>
      </c>
      <c r="K42" s="22">
        <v>0</v>
      </c>
      <c r="L42" s="36">
        <f t="shared" si="15"/>
        <v>34235.876179484316</v>
      </c>
      <c r="M42" s="22">
        <v>34235.876179484316</v>
      </c>
      <c r="N42" s="22">
        <v>0</v>
      </c>
      <c r="O42" s="36">
        <f t="shared" si="16"/>
        <v>34235.876179484316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0</v>
      </c>
      <c r="F44" s="36">
        <f t="shared" si="13"/>
        <v>0</v>
      </c>
      <c r="G44" s="57">
        <v>0</v>
      </c>
      <c r="H44" s="57">
        <v>0</v>
      </c>
      <c r="I44" s="36">
        <f t="shared" si="17"/>
        <v>0</v>
      </c>
      <c r="J44" s="57">
        <v>0</v>
      </c>
      <c r="K44" s="57">
        <v>0</v>
      </c>
      <c r="L44" s="36">
        <f t="shared" si="15"/>
        <v>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1421237.0719057221</v>
      </c>
      <c r="E47" s="59">
        <f>E25+E30+E40+E41+E42+E43+E44+E45</f>
        <v>0</v>
      </c>
      <c r="F47" s="60">
        <f>D47+E47</f>
        <v>1421237.0719057221</v>
      </c>
      <c r="G47" s="59">
        <f>G25+G30+G40+G41+G42+G43+G44+G46</f>
        <v>1429921.4182137584</v>
      </c>
      <c r="H47" s="59">
        <f>H25+H30+H40+H41+H42+H43+H44+H45+H46</f>
        <v>0</v>
      </c>
      <c r="I47" s="60">
        <f>G47+H47</f>
        <v>1429921.4182137584</v>
      </c>
      <c r="J47" s="59">
        <f>J25+J30+J40+J41+J42+J43+J44+J46</f>
        <v>1443454.5567489106</v>
      </c>
      <c r="K47" s="59">
        <f>K25+K30+K40+K41+K42+K43+K44+K45+K46</f>
        <v>0</v>
      </c>
      <c r="L47" s="60">
        <f>J47+K47</f>
        <v>1443454.5567489106</v>
      </c>
      <c r="M47" s="59">
        <f>M25+M30+M40+M41+M42+M43+M44+M46</f>
        <v>1440770.4216367998</v>
      </c>
      <c r="N47" s="59">
        <f>N25+N30+N40+N41+N42+N43+N44+N45+N46</f>
        <v>0</v>
      </c>
      <c r="O47" s="60">
        <f>M47+N47</f>
        <v>1440770.4216367998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3515464.4373177998</v>
      </c>
      <c r="E49" s="65">
        <v>0</v>
      </c>
      <c r="F49" s="65">
        <f>D49+E49</f>
        <v>3515464.4373177998</v>
      </c>
      <c r="G49" s="65">
        <f>G50</f>
        <v>3543205.2042394336</v>
      </c>
      <c r="H49" s="65">
        <v>0</v>
      </c>
      <c r="I49" s="65">
        <f t="shared" ref="I49" si="21">G49+H49</f>
        <v>3543205.2042394336</v>
      </c>
      <c r="J49" s="65">
        <f>J50</f>
        <v>3553685.266727292</v>
      </c>
      <c r="K49" s="65">
        <v>0</v>
      </c>
      <c r="L49" s="65">
        <f t="shared" ref="L49" si="22">J49+K49</f>
        <v>3553685.266727292</v>
      </c>
      <c r="M49" s="65">
        <f>M50</f>
        <v>3495485.793365181</v>
      </c>
      <c r="N49" s="65">
        <v>0</v>
      </c>
      <c r="O49" s="65">
        <f t="shared" ref="O49" si="23">M49+N49</f>
        <v>3495485.793365181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3510856.0168301752</v>
      </c>
      <c r="E50" s="59">
        <f t="shared" si="24"/>
        <v>0</v>
      </c>
      <c r="F50" s="59">
        <f t="shared" si="24"/>
        <v>3510856.0168301752</v>
      </c>
      <c r="G50" s="59">
        <f>+G23+G47</f>
        <v>3543205.2042394336</v>
      </c>
      <c r="H50" s="59">
        <f t="shared" si="24"/>
        <v>0</v>
      </c>
      <c r="I50" s="59">
        <f t="shared" si="24"/>
        <v>3543205.2042394336</v>
      </c>
      <c r="J50" s="59">
        <f t="shared" si="24"/>
        <v>3553685.266727292</v>
      </c>
      <c r="K50" s="59">
        <f>+K23+K47</f>
        <v>0</v>
      </c>
      <c r="L50" s="59">
        <f t="shared" si="24"/>
        <v>3553685.266727292</v>
      </c>
      <c r="M50" s="59">
        <f>+M23+M47</f>
        <v>3495485.793365181</v>
      </c>
      <c r="N50" s="59">
        <f t="shared" si="24"/>
        <v>0</v>
      </c>
      <c r="O50" s="59">
        <f t="shared" si="24"/>
        <v>3495485.793365181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81989.281811968074</v>
      </c>
      <c r="E51" s="68"/>
      <c r="F51" s="146"/>
      <c r="G51" s="68">
        <f>G44+G20</f>
        <v>58568.414297294046</v>
      </c>
      <c r="H51" s="68"/>
      <c r="I51" s="146"/>
      <c r="J51" s="68">
        <f>J44+J20</f>
        <v>55515.338250000001</v>
      </c>
      <c r="K51" s="68"/>
      <c r="L51" s="146"/>
      <c r="M51" s="68">
        <f>M44+M20</f>
        <v>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0.79549999999999987</v>
      </c>
      <c r="G53" s="72"/>
      <c r="H53" s="73"/>
      <c r="I53" s="74">
        <v>0.79549999999999987</v>
      </c>
      <c r="J53" s="72"/>
      <c r="K53" s="73"/>
      <c r="L53" s="74">
        <v>0.79549999999999987</v>
      </c>
      <c r="M53" s="72"/>
      <c r="N53" s="73"/>
      <c r="O53" s="74">
        <v>0.79549999999999987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14390.102999999999</v>
      </c>
      <c r="G54" s="34"/>
      <c r="H54" s="76"/>
      <c r="I54" s="77">
        <v>14390.102999999999</v>
      </c>
      <c r="J54" s="34"/>
      <c r="K54" s="76"/>
      <c r="L54" s="77">
        <v>14390.102999999999</v>
      </c>
      <c r="M54" s="34"/>
      <c r="N54" s="76"/>
      <c r="O54" s="77">
        <v>14390.102999999999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29.148593218889694</v>
      </c>
      <c r="G55" s="34"/>
      <c r="H55" s="76"/>
      <c r="I55" s="78">
        <v>24.651765945972656</v>
      </c>
      <c r="J55" s="34"/>
      <c r="K55" s="76"/>
      <c r="L55" s="78">
        <v>24.293146671160887</v>
      </c>
      <c r="M55" s="34"/>
      <c r="N55" s="76"/>
      <c r="O55" s="78">
        <v>24.527295548711283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31.559322456207209</v>
      </c>
      <c r="G56" s="81"/>
      <c r="H56" s="82"/>
      <c r="I56" s="78">
        <v>31.559322456207209</v>
      </c>
      <c r="J56" s="81"/>
      <c r="K56" s="82"/>
      <c r="L56" s="78">
        <v>31.559322456207209</v>
      </c>
      <c r="M56" s="81"/>
      <c r="N56" s="82"/>
      <c r="O56" s="78">
        <v>31.559322456207209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-2.0000000000000573E-2</v>
      </c>
      <c r="G59" s="87"/>
      <c r="H59" s="73"/>
      <c r="I59" s="86">
        <v>-2.0000000000000573E-2</v>
      </c>
      <c r="J59" s="72"/>
      <c r="K59" s="73"/>
      <c r="L59" s="88">
        <v>-2.0000000000000573E-2</v>
      </c>
      <c r="M59" s="72"/>
      <c r="N59" s="73"/>
      <c r="O59" s="88">
        <v>-2.0000000000000573E-2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-0.16225709731042956</v>
      </c>
      <c r="G60" s="90"/>
      <c r="H60" s="76"/>
      <c r="I60" s="89">
        <v>-0.16225709731042956</v>
      </c>
      <c r="J60" s="34"/>
      <c r="K60" s="91"/>
      <c r="L60" s="89">
        <v>-0.16225709731042956</v>
      </c>
      <c r="M60" s="34"/>
      <c r="N60" s="76"/>
      <c r="O60" s="89">
        <v>-0.16225709731042956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-0.18225709731043013</v>
      </c>
      <c r="G61" s="90"/>
      <c r="H61" s="76"/>
      <c r="I61" s="92">
        <v>-0.18225709731043013</v>
      </c>
      <c r="J61" s="34"/>
      <c r="K61" s="76"/>
      <c r="L61" s="93">
        <v>-0.18225709731043013</v>
      </c>
      <c r="M61" s="34"/>
      <c r="N61" s="76"/>
      <c r="O61" s="92">
        <v>-0.18225709731043013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0.81774290268956984</v>
      </c>
      <c r="G62" s="95"/>
      <c r="H62" s="82"/>
      <c r="I62" s="94">
        <v>0.81774290268956984</v>
      </c>
      <c r="J62" s="81"/>
      <c r="K62" s="82"/>
      <c r="L62" s="94">
        <v>0.81774290268956984</v>
      </c>
      <c r="M62" s="81"/>
      <c r="N62" s="82"/>
      <c r="O62" s="94">
        <v>0.81774290268956984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1.00000001E-3</v>
      </c>
      <c r="G66" s="34"/>
      <c r="H66" s="76"/>
      <c r="I66" s="104">
        <v>1.00000001E-3</v>
      </c>
      <c r="J66" s="34"/>
      <c r="K66" s="76"/>
      <c r="L66" s="104">
        <v>1.00000001E-3</v>
      </c>
      <c r="M66" s="34"/>
      <c r="N66" s="76"/>
      <c r="O66" s="104">
        <v>1.00000001E-3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6.5999999990000002E-2</v>
      </c>
      <c r="G70" s="34"/>
      <c r="H70" s="76"/>
      <c r="I70" s="105">
        <v>6.5999999990000002E-2</v>
      </c>
      <c r="J70" s="34"/>
      <c r="K70" s="76"/>
      <c r="L70" s="105">
        <v>6.5999999990000002E-2</v>
      </c>
      <c r="M70" s="34"/>
      <c r="N70" s="76"/>
      <c r="O70" s="105">
        <v>6.5999999990000002E-2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1.0659999999900001</v>
      </c>
      <c r="G71" s="34"/>
      <c r="H71" s="76"/>
      <c r="I71" s="106">
        <v>1.0659999999900001</v>
      </c>
      <c r="J71" s="34"/>
      <c r="K71" s="76"/>
      <c r="L71" s="106">
        <v>1.0659999999900001</v>
      </c>
      <c r="M71" s="34"/>
      <c r="N71" s="76"/>
      <c r="O71" s="106">
        <v>1.0659999999900001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3510856.0168301752</v>
      </c>
      <c r="G72" s="34"/>
      <c r="H72" s="76"/>
      <c r="I72" s="108">
        <f>I50</f>
        <v>3543205.2042394336</v>
      </c>
      <c r="J72" s="34"/>
      <c r="K72" s="76"/>
      <c r="L72" s="108">
        <f>L50</f>
        <v>3553685.266727292</v>
      </c>
      <c r="M72" s="34"/>
      <c r="N72" s="76"/>
      <c r="O72" s="108">
        <f>O50</f>
        <v>3495485.793365181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2505098.1487880275</v>
      </c>
      <c r="G73" s="34"/>
      <c r="H73" s="76"/>
      <c r="I73" s="110">
        <f>F81</f>
        <v>2089618.9449244533</v>
      </c>
      <c r="J73" s="34"/>
      <c r="K73" s="76"/>
      <c r="L73" s="110">
        <f>I81</f>
        <v>2113283.786025675</v>
      </c>
      <c r="M73" s="34"/>
      <c r="N73" s="76"/>
      <c r="O73" s="110">
        <f>L81</f>
        <v>2110230.7099783812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1042316.3621563624</v>
      </c>
      <c r="G74" s="34"/>
      <c r="H74" s="76"/>
      <c r="I74" s="110">
        <f>F82</f>
        <v>1421237.0719057219</v>
      </c>
      <c r="J74" s="34"/>
      <c r="K74" s="76"/>
      <c r="L74" s="110">
        <f>I82</f>
        <v>1429921.4182137586</v>
      </c>
      <c r="M74" s="34"/>
      <c r="N74" s="76"/>
      <c r="O74" s="110">
        <f>L82</f>
        <v>1443454.5567489108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3547414.5109443897</v>
      </c>
      <c r="G75" s="34"/>
      <c r="H75" s="76"/>
      <c r="I75" s="111">
        <f>SUM(I73:I74)</f>
        <v>3510856.0168301752</v>
      </c>
      <c r="J75" s="34"/>
      <c r="K75" s="76"/>
      <c r="L75" s="111">
        <f>SUM(L73:L74)</f>
        <v>3543205.2042394336</v>
      </c>
      <c r="M75" s="34"/>
      <c r="N75" s="76"/>
      <c r="O75" s="111">
        <f>SUM(O73:O74)</f>
        <v>3553685.266727292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0.98969432695236903</v>
      </c>
      <c r="G76" s="81"/>
      <c r="H76" s="82"/>
      <c r="I76" s="112">
        <f>I72/I75</f>
        <v>1.0092140455929222</v>
      </c>
      <c r="J76" s="81"/>
      <c r="K76" s="82"/>
      <c r="L76" s="112">
        <f>L72/L75</f>
        <v>1.002957791571123</v>
      </c>
      <c r="M76" s="81"/>
      <c r="N76" s="82"/>
      <c r="O76" s="112">
        <f>O72/O75</f>
        <v>0.98362278339417808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3510856.0168301752</v>
      </c>
      <c r="G78" s="73"/>
      <c r="H78" s="73"/>
      <c r="I78" s="115">
        <f>IF(I72&lt;=I75*I71,I72,I75*I71)</f>
        <v>3543205.2042394336</v>
      </c>
      <c r="J78" s="73"/>
      <c r="K78" s="73"/>
      <c r="L78" s="115">
        <f>IF(L72&lt;=L75*L71,L72,L75*L71)</f>
        <v>3553685.266727292</v>
      </c>
      <c r="M78" s="73"/>
      <c r="N78" s="73"/>
      <c r="O78" s="115">
        <f>IF(O72&lt;=O75*O71,O72,O75*O71)</f>
        <v>3495485.793365181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2089618.9449244533</v>
      </c>
      <c r="E81" s="120">
        <f>E23</f>
        <v>0</v>
      </c>
      <c r="F81" s="115">
        <f>D81+E81</f>
        <v>2089618.9449244533</v>
      </c>
      <c r="G81" s="119">
        <f>G23-I79</f>
        <v>2113283.786025675</v>
      </c>
      <c r="H81" s="120">
        <f>H23</f>
        <v>0</v>
      </c>
      <c r="I81" s="115">
        <f>G81+H81</f>
        <v>2113283.786025675</v>
      </c>
      <c r="J81" s="119">
        <f>J23-L79</f>
        <v>2110230.7099783812</v>
      </c>
      <c r="K81" s="120">
        <f>K23</f>
        <v>0</v>
      </c>
      <c r="L81" s="115">
        <f>J81+K81</f>
        <v>2110230.7099783812</v>
      </c>
      <c r="M81" s="119">
        <f>M23-O79</f>
        <v>2054715.3717283811</v>
      </c>
      <c r="N81" s="120">
        <f>N23</f>
        <v>0</v>
      </c>
      <c r="O81" s="115">
        <f>M81+N81</f>
        <v>2054715.3717283811</v>
      </c>
    </row>
    <row r="82" spans="1:52" s="14" customFormat="1" ht="20" customHeight="1" thickBot="1">
      <c r="B82" s="118" t="s">
        <v>72</v>
      </c>
      <c r="D82" s="121">
        <f>D50-D81-F79</f>
        <v>1421237.0719057219</v>
      </c>
      <c r="E82" s="122">
        <f>E50-E81</f>
        <v>0</v>
      </c>
      <c r="F82" s="123">
        <f>D82+E82</f>
        <v>1421237.0719057219</v>
      </c>
      <c r="G82" s="121">
        <f>G49-G81-I79</f>
        <v>1429921.4182137586</v>
      </c>
      <c r="H82" s="122">
        <f>H50-H81</f>
        <v>0</v>
      </c>
      <c r="I82" s="123">
        <f>G82+H82</f>
        <v>1429921.4182137586</v>
      </c>
      <c r="J82" s="121">
        <f>J50-J81-L79</f>
        <v>1443454.5567489108</v>
      </c>
      <c r="K82" s="122">
        <f>K50-K81</f>
        <v>0</v>
      </c>
      <c r="L82" s="123">
        <f>J82+K82</f>
        <v>1443454.5567489108</v>
      </c>
      <c r="M82" s="121">
        <f>M49-M81-O79</f>
        <v>1440770.4216367998</v>
      </c>
      <c r="N82" s="122">
        <f>N50-N81</f>
        <v>0</v>
      </c>
      <c r="O82" s="123">
        <f>M82+N82</f>
        <v>1440770.4216367998</v>
      </c>
    </row>
    <row r="83" spans="1:52" s="124" customFormat="1" ht="17.25" customHeight="1" thickBot="1">
      <c r="B83" s="125" t="s">
        <v>73</v>
      </c>
      <c r="C83" s="14"/>
      <c r="D83" s="126">
        <f>SUM(D81:D82)</f>
        <v>3510856.0168301752</v>
      </c>
      <c r="E83" s="127">
        <f t="shared" ref="E83:O83" si="25">SUM(E81:E82)</f>
        <v>0</v>
      </c>
      <c r="F83" s="128">
        <f t="shared" si="25"/>
        <v>3510856.0168301752</v>
      </c>
      <c r="G83" s="126">
        <f t="shared" si="25"/>
        <v>3543205.2042394336</v>
      </c>
      <c r="H83" s="127">
        <f t="shared" si="25"/>
        <v>0</v>
      </c>
      <c r="I83" s="128">
        <f t="shared" si="25"/>
        <v>3543205.2042394336</v>
      </c>
      <c r="J83" s="126">
        <f t="shared" si="25"/>
        <v>3553685.266727292</v>
      </c>
      <c r="K83" s="127">
        <f t="shared" si="25"/>
        <v>0</v>
      </c>
      <c r="L83" s="128">
        <f t="shared" si="25"/>
        <v>3553685.266727292</v>
      </c>
      <c r="M83" s="126">
        <f t="shared" si="25"/>
        <v>3495485.793365181</v>
      </c>
      <c r="N83" s="127">
        <f t="shared" si="25"/>
        <v>0</v>
      </c>
      <c r="O83" s="128">
        <f t="shared" si="25"/>
        <v>3495485.793365181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2089618.9449244533</v>
      </c>
      <c r="G88" s="72"/>
      <c r="H88" s="73"/>
      <c r="I88" s="136">
        <f>I81-I85</f>
        <v>2113283.786025675</v>
      </c>
      <c r="J88" s="72"/>
      <c r="K88" s="73"/>
      <c r="L88" s="136">
        <f>L81-L85</f>
        <v>2110230.7099783812</v>
      </c>
      <c r="M88" s="72"/>
      <c r="N88" s="73"/>
      <c r="O88" s="136">
        <f>O81-O85</f>
        <v>2054715.3717283811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1421237.0719057219</v>
      </c>
      <c r="G89" s="34"/>
      <c r="H89" s="76"/>
      <c r="I89" s="138">
        <f>I82-I86</f>
        <v>1429921.4182137586</v>
      </c>
      <c r="J89" s="34"/>
      <c r="K89" s="76"/>
      <c r="L89" s="138">
        <f>L82-L86</f>
        <v>1443454.5567489108</v>
      </c>
      <c r="M89" s="34"/>
      <c r="N89" s="76"/>
      <c r="O89" s="138">
        <f>O82-O86</f>
        <v>1440770.4216367998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3510856.0168301752</v>
      </c>
      <c r="G90" s="81"/>
      <c r="H90" s="82"/>
      <c r="I90" s="139">
        <f>+I88+I89</f>
        <v>3543205.2042394336</v>
      </c>
      <c r="J90" s="81"/>
      <c r="K90" s="82"/>
      <c r="L90" s="139">
        <f>+L88+L89</f>
        <v>3553685.266727292</v>
      </c>
      <c r="M90" s="81"/>
      <c r="N90" s="82"/>
      <c r="O90" s="139">
        <f>+O88+O89</f>
        <v>3495485.793365181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-1142.5511682166252</v>
      </c>
      <c r="E92" s="143">
        <v>0</v>
      </c>
      <c r="F92" s="144">
        <f>D92+E92</f>
        <v>-1142.5511682166252</v>
      </c>
      <c r="G92" s="142">
        <v>-54163.630958114387</v>
      </c>
      <c r="H92" s="143">
        <v>0</v>
      </c>
      <c r="I92" s="144">
        <f>G92+H92</f>
        <v>-54163.630958114387</v>
      </c>
      <c r="J92" s="142">
        <v>-54163.630958114387</v>
      </c>
      <c r="K92" s="143">
        <v>0</v>
      </c>
      <c r="L92" s="144">
        <f>J92+K92</f>
        <v>-54163.630958114387</v>
      </c>
      <c r="M92" s="142">
        <v>-54163.630958114387</v>
      </c>
      <c r="N92" s="143">
        <v>0</v>
      </c>
      <c r="O92" s="144">
        <f>M92+N92</f>
        <v>-54163.630958114387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3664671.9218516271</v>
      </c>
      <c r="E96" s="166">
        <f>E6+E7+E8+E9+E11+E25+E30+E40+E42+E21+E45</f>
        <v>0</v>
      </c>
      <c r="F96" s="166">
        <f t="shared" ref="F96" si="26">F6+F7+F8+F9+F11+F25+F30+F40+F42</f>
        <v>3664671.9218516271</v>
      </c>
      <c r="G96" s="166">
        <f t="shared" ref="G96" si="27">G6+G7+G8+G9+G11+G25+G30+G40+G42+G21+G45</f>
        <v>3720206.4071583427</v>
      </c>
      <c r="H96" s="166">
        <f t="shared" ref="H96" si="28">H6+H7+H8+H9+H11+H25+H30+H40+H42</f>
        <v>0</v>
      </c>
      <c r="I96" s="166">
        <f t="shared" ref="I96" si="29">I6+I7+I8+I9+I11+I25+I30+I40+I42+I21+I45</f>
        <v>3720206.4071583427</v>
      </c>
      <c r="J96" s="166">
        <f t="shared" ref="J96" si="30">J6+J7+J8+J9+J11+J25+J30+J40+J42</f>
        <v>3733739.5456934944</v>
      </c>
      <c r="K96" s="166">
        <f t="shared" ref="K96" si="31">K6+K7+K8+K9+K11+K25+K30+K40+K42+K21+K45</f>
        <v>0</v>
      </c>
      <c r="L96" s="166">
        <f t="shared" ref="L96" si="32">L6+L7+L8+L9+L11+L25+L30+L40+L42</f>
        <v>3733739.5456934944</v>
      </c>
      <c r="M96" s="166">
        <f t="shared" ref="M96" si="33">M6+M7+M8+M9+M11+M25+M30+M40+M42+M21+M45</f>
        <v>3731055.4105813839</v>
      </c>
      <c r="N96" s="166">
        <f t="shared" ref="N96" si="34">N6+N7+N8+N9+N11+N25+N30+N40+N42</f>
        <v>0</v>
      </c>
      <c r="O96" s="166">
        <f t="shared" ref="O96" si="35">O6+O7+O8+O9+O11+O25+O30+O40+O42+O21+O45</f>
        <v>3731055.4105813839</v>
      </c>
    </row>
    <row r="97" spans="4:15" s="14" customFormat="1">
      <c r="D97" s="166">
        <f>D96-D15-D19</f>
        <v>3428866.7350182077</v>
      </c>
      <c r="E97" s="166">
        <f>E96-E15-E19</f>
        <v>0</v>
      </c>
      <c r="F97" s="166">
        <f t="shared" ref="F97:O97" si="36">F96-F15-F19</f>
        <v>3428866.7350182077</v>
      </c>
      <c r="G97" s="166">
        <f t="shared" si="36"/>
        <v>3484636.7899421398</v>
      </c>
      <c r="H97" s="166">
        <f t="shared" si="36"/>
        <v>0</v>
      </c>
      <c r="I97" s="166">
        <f t="shared" si="36"/>
        <v>3484636.7899421398</v>
      </c>
      <c r="J97" s="166">
        <f t="shared" si="36"/>
        <v>3498169.9284772915</v>
      </c>
      <c r="K97" s="166">
        <f t="shared" si="36"/>
        <v>0</v>
      </c>
      <c r="L97" s="166">
        <f t="shared" si="36"/>
        <v>3498169.9284772915</v>
      </c>
      <c r="M97" s="166">
        <f t="shared" si="36"/>
        <v>3495485.793365181</v>
      </c>
      <c r="N97" s="166">
        <f t="shared" si="36"/>
        <v>0</v>
      </c>
      <c r="O97" s="166">
        <f t="shared" si="36"/>
        <v>3495485.793365181</v>
      </c>
    </row>
    <row r="98" spans="4:15" s="14" customFormat="1">
      <c r="D98" s="166">
        <f>D20+D44</f>
        <v>81989.281811968074</v>
      </c>
      <c r="E98" s="166">
        <f>E20+E44</f>
        <v>0</v>
      </c>
      <c r="F98" s="166">
        <f t="shared" ref="F98:O98" si="37">F20+F44</f>
        <v>81989.281811968074</v>
      </c>
      <c r="G98" s="166">
        <f t="shared" si="37"/>
        <v>58568.414297294046</v>
      </c>
      <c r="H98" s="166">
        <f t="shared" si="37"/>
        <v>0</v>
      </c>
      <c r="I98" s="166">
        <f t="shared" si="37"/>
        <v>58568.414297294046</v>
      </c>
      <c r="J98" s="166">
        <f t="shared" si="37"/>
        <v>55515.338250000001</v>
      </c>
      <c r="K98" s="166">
        <f t="shared" si="37"/>
        <v>0</v>
      </c>
      <c r="L98" s="166">
        <f t="shared" si="37"/>
        <v>55515.338250000001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24" priority="7" operator="containsText" text="ERRORE">
      <formula>NOT(ISERROR(SEARCH("ERRORE",F81)))</formula>
    </cfRule>
  </conditionalFormatting>
  <conditionalFormatting sqref="I83">
    <cfRule type="containsText" dxfId="123" priority="6" operator="containsText" text="ERRORE">
      <formula>NOT(ISERROR(SEARCH("ERRORE",I83)))</formula>
    </cfRule>
  </conditionalFormatting>
  <conditionalFormatting sqref="I81:I82">
    <cfRule type="containsText" dxfId="122" priority="5" operator="containsText" text="ERRORE">
      <formula>NOT(ISERROR(SEARCH("ERRORE",I81)))</formula>
    </cfRule>
  </conditionalFormatting>
  <conditionalFormatting sqref="L83">
    <cfRule type="containsText" dxfId="121" priority="4" operator="containsText" text="ERRORE">
      <formula>NOT(ISERROR(SEARCH("ERRORE",L83)))</formula>
    </cfRule>
  </conditionalFormatting>
  <conditionalFormatting sqref="L81:L82">
    <cfRule type="containsText" dxfId="120" priority="3" operator="containsText" text="ERRORE">
      <formula>NOT(ISERROR(SEARCH("ERRORE",L81)))</formula>
    </cfRule>
  </conditionalFormatting>
  <conditionalFormatting sqref="O83">
    <cfRule type="containsText" dxfId="119" priority="2" operator="containsText" text="ERRORE">
      <formula>NOT(ISERROR(SEARCH("ERRORE",O83)))</formula>
    </cfRule>
  </conditionalFormatting>
  <conditionalFormatting sqref="O81:O82">
    <cfRule type="containsText" dxfId="118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F67" zoomScale="70" zoomScaleNormal="70" zoomScalePageLayoutView="70" workbookViewId="0">
      <selection activeCell="O83" sqref="O83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101</v>
      </c>
      <c r="B1" s="2" t="str">
        <f>"       PEF 2022 - 2025"&amp;" - "&amp;A1</f>
        <v xml:space="preserve">       PEF 2022 - 2025 - Mogliano Veneto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149</v>
      </c>
      <c r="E4" s="188"/>
      <c r="F4" s="189"/>
      <c r="G4" s="187" t="str">
        <f>D4</f>
        <v>Ambito tariffario: MOGLIANO VENETO</v>
      </c>
      <c r="H4" s="188"/>
      <c r="I4" s="189"/>
      <c r="J4" s="187" t="str">
        <f>D4</f>
        <v>Ambito tariffario: MOGLIANO VENETO</v>
      </c>
      <c r="K4" s="188"/>
      <c r="L4" s="189"/>
      <c r="M4" s="187" t="str">
        <f>D4</f>
        <v>Ambito tariffario: MOGLIANO VENETO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405360.31713151792</v>
      </c>
      <c r="E6" s="22">
        <v>0</v>
      </c>
      <c r="F6" s="23">
        <f>D6+E6</f>
        <v>405360.31713151792</v>
      </c>
      <c r="G6" s="22">
        <v>419326.52069612691</v>
      </c>
      <c r="H6" s="22">
        <v>0</v>
      </c>
      <c r="I6" s="23">
        <f>G6+H6</f>
        <v>419326.52069612691</v>
      </c>
      <c r="J6" s="22">
        <v>419326.52069612691</v>
      </c>
      <c r="K6" s="22">
        <v>0</v>
      </c>
      <c r="L6" s="23">
        <f>J6+K6</f>
        <v>419326.52069612691</v>
      </c>
      <c r="M6" s="22">
        <v>419326.52069612691</v>
      </c>
      <c r="N6" s="22">
        <v>0</v>
      </c>
      <c r="O6" s="23">
        <f>M6+N6</f>
        <v>419326.52069612691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543748.16870224348</v>
      </c>
      <c r="E7" s="22">
        <v>0</v>
      </c>
      <c r="F7" s="23">
        <f t="shared" ref="F7:F20" si="0">D7+E7</f>
        <v>543748.16870224348</v>
      </c>
      <c r="G7" s="22">
        <v>569185.5195137423</v>
      </c>
      <c r="H7" s="22">
        <v>0</v>
      </c>
      <c r="I7" s="23">
        <f t="shared" ref="I7:I13" si="1">G7+H7</f>
        <v>569185.5195137423</v>
      </c>
      <c r="J7" s="22">
        <v>569185.5195137423</v>
      </c>
      <c r="K7" s="22">
        <v>0</v>
      </c>
      <c r="L7" s="23">
        <f t="shared" ref="L7:L12" si="2">J7+K7</f>
        <v>569185.5195137423</v>
      </c>
      <c r="M7" s="22">
        <v>569185.5195137423</v>
      </c>
      <c r="N7" s="22">
        <v>0</v>
      </c>
      <c r="O7" s="23">
        <f t="shared" ref="O7:O13" si="3">M7+N7</f>
        <v>569185.5195137423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507533.62433128693</v>
      </c>
      <c r="E8" s="22">
        <v>0</v>
      </c>
      <c r="F8" s="23">
        <f t="shared" si="0"/>
        <v>507533.62433128693</v>
      </c>
      <c r="G8" s="22">
        <v>531289.25170347805</v>
      </c>
      <c r="H8" s="22">
        <v>0</v>
      </c>
      <c r="I8" s="23">
        <f t="shared" si="1"/>
        <v>531289.25170347805</v>
      </c>
      <c r="J8" s="22">
        <v>531289.25170347805</v>
      </c>
      <c r="K8" s="22">
        <v>0</v>
      </c>
      <c r="L8" s="23">
        <f t="shared" si="2"/>
        <v>531289.25170347805</v>
      </c>
      <c r="M8" s="22">
        <v>531289.25170347805</v>
      </c>
      <c r="N8" s="22">
        <v>0</v>
      </c>
      <c r="O8" s="23">
        <f t="shared" si="3"/>
        <v>531289.25170347805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919155.16147773969</v>
      </c>
      <c r="E9" s="22">
        <v>0</v>
      </c>
      <c r="F9" s="23">
        <f t="shared" si="0"/>
        <v>919155.16147773969</v>
      </c>
      <c r="G9" s="22">
        <v>945115.59537836176</v>
      </c>
      <c r="H9" s="22">
        <v>0</v>
      </c>
      <c r="I9" s="23">
        <f t="shared" si="1"/>
        <v>945115.59537836176</v>
      </c>
      <c r="J9" s="22">
        <v>945115.59537836176</v>
      </c>
      <c r="K9" s="22">
        <v>0</v>
      </c>
      <c r="L9" s="23">
        <f t="shared" si="2"/>
        <v>945115.59537836176</v>
      </c>
      <c r="M9" s="22">
        <v>945115.59537836176</v>
      </c>
      <c r="N9" s="22">
        <v>0</v>
      </c>
      <c r="O9" s="23">
        <f t="shared" si="3"/>
        <v>945115.59537836176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11843.966790354807</v>
      </c>
      <c r="E11" s="22">
        <v>0</v>
      </c>
      <c r="F11" s="23">
        <f t="shared" si="0"/>
        <v>11843.966790354807</v>
      </c>
      <c r="G11" s="22">
        <v>11843.966790354807</v>
      </c>
      <c r="H11" s="22">
        <v>0</v>
      </c>
      <c r="I11" s="23">
        <f t="shared" si="1"/>
        <v>11843.966790354807</v>
      </c>
      <c r="J11" s="22">
        <v>11843.966790354807</v>
      </c>
      <c r="K11" s="22">
        <v>0</v>
      </c>
      <c r="L11" s="23">
        <f t="shared" si="2"/>
        <v>11843.966790354807</v>
      </c>
      <c r="M11" s="22">
        <v>11843.966790354807</v>
      </c>
      <c r="N11" s="22">
        <v>0</v>
      </c>
      <c r="O11" s="23">
        <f t="shared" si="3"/>
        <v>11843.966790354807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251969.77564413036</v>
      </c>
      <c r="E13" s="22">
        <v>0</v>
      </c>
      <c r="F13" s="23">
        <f t="shared" si="0"/>
        <v>251969.77564413036</v>
      </c>
      <c r="G13" s="22">
        <v>251718.05758654384</v>
      </c>
      <c r="H13" s="22">
        <v>0</v>
      </c>
      <c r="I13" s="23">
        <f t="shared" si="1"/>
        <v>251718.05758654384</v>
      </c>
      <c r="J13" s="22">
        <v>251718.05758654384</v>
      </c>
      <c r="K13" s="22">
        <v>0</v>
      </c>
      <c r="L13" s="23">
        <f>J13+K13</f>
        <v>251718.05758654384</v>
      </c>
      <c r="M13" s="22">
        <v>251718.05758654384</v>
      </c>
      <c r="N13" s="22">
        <v>0</v>
      </c>
      <c r="O13" s="23">
        <f t="shared" si="3"/>
        <v>251718.05758654384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151181.86538647822</v>
      </c>
      <c r="E15" s="22">
        <v>0</v>
      </c>
      <c r="F15" s="23">
        <f t="shared" si="0"/>
        <v>151181.86538647822</v>
      </c>
      <c r="G15" s="22">
        <v>151030.83455192629</v>
      </c>
      <c r="H15" s="22">
        <v>0</v>
      </c>
      <c r="I15" s="23">
        <f t="shared" ref="I15:I16" si="4">G15+H15</f>
        <v>151030.83455192629</v>
      </c>
      <c r="J15" s="22">
        <v>151030.83455192629</v>
      </c>
      <c r="K15" s="22">
        <v>0</v>
      </c>
      <c r="L15" s="23">
        <f t="shared" ref="L15:L16" si="5">J15+K15</f>
        <v>151030.83455192629</v>
      </c>
      <c r="M15" s="22">
        <v>151030.83455192629</v>
      </c>
      <c r="N15" s="22">
        <v>0</v>
      </c>
      <c r="O15" s="23">
        <f t="shared" ref="O15:O16" si="6">M15+N15</f>
        <v>151030.83455192629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11667.29001009171</v>
      </c>
      <c r="E16" s="22">
        <v>0</v>
      </c>
      <c r="F16" s="23">
        <f t="shared" si="0"/>
        <v>11667.29001009171</v>
      </c>
      <c r="G16" s="22">
        <v>11655.634375715996</v>
      </c>
      <c r="H16" s="22">
        <v>0</v>
      </c>
      <c r="I16" s="23">
        <f t="shared" si="4"/>
        <v>11655.634375715996</v>
      </c>
      <c r="J16" s="22">
        <v>11655.634375715996</v>
      </c>
      <c r="K16" s="22">
        <v>0</v>
      </c>
      <c r="L16" s="23">
        <f t="shared" si="5"/>
        <v>11655.634375715996</v>
      </c>
      <c r="M16" s="22">
        <v>11655.634375715996</v>
      </c>
      <c r="N16" s="22">
        <v>0</v>
      </c>
      <c r="O16" s="23">
        <f t="shared" si="6"/>
        <v>11655.634375715996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7700.4114066605289</v>
      </c>
      <c r="E19" s="22">
        <v>0</v>
      </c>
      <c r="F19" s="23">
        <f t="shared" si="0"/>
        <v>7700.4114066605289</v>
      </c>
      <c r="G19" s="22">
        <v>7692.7186879725577</v>
      </c>
      <c r="H19" s="22">
        <v>0</v>
      </c>
      <c r="I19" s="23">
        <f t="shared" ref="I19:I20" si="7">G19+H19</f>
        <v>7692.7186879725577</v>
      </c>
      <c r="J19" s="22">
        <v>7692.7186879725577</v>
      </c>
      <c r="K19" s="22">
        <v>0</v>
      </c>
      <c r="L19" s="23">
        <f t="shared" ref="L19:L20" si="8">J19+K19</f>
        <v>7692.7186879725577</v>
      </c>
      <c r="M19" s="32">
        <v>7692.7186879725577</v>
      </c>
      <c r="N19" s="33">
        <v>0</v>
      </c>
      <c r="O19" s="23">
        <f t="shared" ref="O19:O20" si="9">M19+N19</f>
        <v>7692.7186879725577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211511.938088811</v>
      </c>
      <c r="E20" s="22">
        <v>0</v>
      </c>
      <c r="F20" s="23">
        <f t="shared" si="0"/>
        <v>211511.938088811</v>
      </c>
      <c r="G20" s="22">
        <v>299616.77880382561</v>
      </c>
      <c r="H20" s="22">
        <v>-16985.715228750007</v>
      </c>
      <c r="I20" s="23">
        <f t="shared" si="7"/>
        <v>282631.06357507559</v>
      </c>
      <c r="J20" s="22">
        <v>219645.64920833334</v>
      </c>
      <c r="K20" s="22">
        <v>-5277.7446137500028</v>
      </c>
      <c r="L20" s="23">
        <f t="shared" si="8"/>
        <v>214367.90459458335</v>
      </c>
      <c r="M20" s="22">
        <v>89588.166666666672</v>
      </c>
      <c r="N20" s="22">
        <v>-117883</v>
      </c>
      <c r="O20" s="23">
        <f t="shared" si="9"/>
        <v>-28294.833333333328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v>388738.66492704593</v>
      </c>
      <c r="F21" s="23">
        <f>E21</f>
        <v>388738.66492704593</v>
      </c>
      <c r="G21" s="34"/>
      <c r="H21" s="22">
        <f>G23*0.1</f>
        <v>261765.40796459906</v>
      </c>
      <c r="I21" s="23">
        <f>H21</f>
        <v>261765.40796459906</v>
      </c>
      <c r="J21" s="34"/>
      <c r="K21" s="22">
        <f>J23*0.1</f>
        <v>253768.29500504985</v>
      </c>
      <c r="L21" s="23">
        <f>K21</f>
        <v>253768.29500504985</v>
      </c>
      <c r="M21" s="34"/>
      <c r="N21" s="22">
        <f>M23*0.1</f>
        <v>240762.54675088316</v>
      </c>
      <c r="O21" s="23">
        <f>N21</f>
        <v>240762.54675088316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2440270.8997288155</v>
      </c>
      <c r="E23" s="38">
        <f>E6+E7+E8+E9+E10+E11+E12-E15-E19+E20+E21</f>
        <v>388738.66492704593</v>
      </c>
      <c r="F23" s="38">
        <f>D23+E23</f>
        <v>2829009.5646558614</v>
      </c>
      <c r="G23" s="38">
        <f>G6+G7+G8+G9+G10+G11+G12-G15-G19+G20+G22</f>
        <v>2617654.0796459904</v>
      </c>
      <c r="H23" s="38">
        <f>H6+H7+H8+H9+H10+H11+H12-H15-H19+H20+H21+H22</f>
        <v>244779.69273584906</v>
      </c>
      <c r="I23" s="38">
        <f>G23+H23</f>
        <v>2862433.7723818393</v>
      </c>
      <c r="J23" s="38">
        <f>J6+J7+J8+J9+J10+J11+J12-J15-J19+J20+J22</f>
        <v>2537682.9500504984</v>
      </c>
      <c r="K23" s="38">
        <f>K6+K7+K8+K9+K10+K11+K12-K15-K19+K20+K21+K22</f>
        <v>248490.55039129985</v>
      </c>
      <c r="L23" s="38">
        <f>J23+K23</f>
        <v>2786173.500441798</v>
      </c>
      <c r="M23" s="38">
        <f>M6+M7+M8+M9+M10+M11+M12-M15-M19+M20+M22</f>
        <v>2407625.4675088315</v>
      </c>
      <c r="N23" s="38">
        <f>N6+N7+N8+N9+N10+N11+N12-N15-N19+N20+N21+N22</f>
        <v>122879.54675088316</v>
      </c>
      <c r="O23" s="38">
        <f>M23+N23</f>
        <v>2530505.0142597146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480773.06710650586</v>
      </c>
      <c r="E25" s="44">
        <v>0</v>
      </c>
      <c r="F25" s="45">
        <f t="shared" ref="F25:F44" si="13">D25+E25</f>
        <v>480773.06710650586</v>
      </c>
      <c r="G25" s="44">
        <v>502531.41501382983</v>
      </c>
      <c r="H25" s="44">
        <v>0</v>
      </c>
      <c r="I25" s="45">
        <f t="shared" ref="I25:I33" si="14">G25+H25</f>
        <v>502531.41501382983</v>
      </c>
      <c r="J25" s="44">
        <v>502531.41501382983</v>
      </c>
      <c r="K25" s="44">
        <v>0</v>
      </c>
      <c r="L25" s="45">
        <f t="shared" ref="L25:L44" si="15">J25+K25</f>
        <v>502531.41501382983</v>
      </c>
      <c r="M25" s="44">
        <v>502531.41501382983</v>
      </c>
      <c r="N25" s="44">
        <v>0</v>
      </c>
      <c r="O25" s="45">
        <f t="shared" ref="O25:O43" si="16">M25+N25</f>
        <v>502531.41501382983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152517.33280133759</v>
      </c>
      <c r="E26" s="22">
        <v>6920.9204184119999</v>
      </c>
      <c r="F26" s="36">
        <f t="shared" si="13"/>
        <v>159438.25321974957</v>
      </c>
      <c r="G26" s="22">
        <v>156985.20721817564</v>
      </c>
      <c r="H26" s="22">
        <v>6914.0064119999997</v>
      </c>
      <c r="I26" s="36">
        <f t="shared" si="14"/>
        <v>163899.21363017563</v>
      </c>
      <c r="J26" s="22">
        <v>156985.20721817564</v>
      </c>
      <c r="K26" s="22">
        <v>6914.0064119999997</v>
      </c>
      <c r="L26" s="36">
        <f t="shared" si="15"/>
        <v>163899.21363017563</v>
      </c>
      <c r="M26" s="22">
        <v>156985.20721817564</v>
      </c>
      <c r="N26" s="22">
        <v>6914.0064119999997</v>
      </c>
      <c r="O26" s="36">
        <f t="shared" si="16"/>
        <v>163899.21363017563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282397.39903102734</v>
      </c>
      <c r="E27" s="47">
        <v>0</v>
      </c>
      <c r="F27" s="48">
        <f t="shared" si="13"/>
        <v>282397.39903102734</v>
      </c>
      <c r="G27" s="47">
        <v>293271.50232721143</v>
      </c>
      <c r="H27" s="47">
        <v>0</v>
      </c>
      <c r="I27" s="48">
        <f t="shared" si="14"/>
        <v>293271.50232721143</v>
      </c>
      <c r="J27" s="47">
        <v>293271.50232721143</v>
      </c>
      <c r="K27" s="47">
        <v>0</v>
      </c>
      <c r="L27" s="48">
        <f t="shared" si="15"/>
        <v>293271.50232721143</v>
      </c>
      <c r="M27" s="47">
        <v>293271.50232721143</v>
      </c>
      <c r="N27" s="47">
        <v>0</v>
      </c>
      <c r="O27" s="48">
        <f t="shared" si="16"/>
        <v>293271.50232721143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20259.305288129104</v>
      </c>
      <c r="E29" s="47">
        <v>30024.333278939997</v>
      </c>
      <c r="F29" s="48">
        <f t="shared" si="13"/>
        <v>50283.638567069102</v>
      </c>
      <c r="G29" s="47">
        <v>20404.851344842042</v>
      </c>
      <c r="H29" s="47">
        <v>31011.12846</v>
      </c>
      <c r="I29" s="48">
        <f t="shared" si="14"/>
        <v>51415.979804842042</v>
      </c>
      <c r="J29" s="47">
        <v>20404.851344842042</v>
      </c>
      <c r="K29" s="47">
        <v>31011.12846</v>
      </c>
      <c r="L29" s="48">
        <f t="shared" si="15"/>
        <v>51415.979804842042</v>
      </c>
      <c r="M29" s="47">
        <v>20404.851344842042</v>
      </c>
      <c r="N29" s="47">
        <v>31011.12846</v>
      </c>
      <c r="O29" s="48">
        <f t="shared" si="16"/>
        <v>51415.979804842042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455174.037120494</v>
      </c>
      <c r="E30" s="51">
        <f>+E26+E27+E28+E29</f>
        <v>36945.253697351996</v>
      </c>
      <c r="F30" s="52">
        <f t="shared" si="13"/>
        <v>492119.29081784602</v>
      </c>
      <c r="G30" s="51">
        <f>+G26+G27+G28+G29</f>
        <v>470661.56089022913</v>
      </c>
      <c r="H30" s="51">
        <f>+H26+H27+H28+H29</f>
        <v>37925.134872000002</v>
      </c>
      <c r="I30" s="52">
        <f t="shared" si="14"/>
        <v>508586.69576222915</v>
      </c>
      <c r="J30" s="51">
        <f>+J26+J27+J28+J29</f>
        <v>470661.56089022913</v>
      </c>
      <c r="K30" s="51">
        <f>+K26+K27+K28+K29</f>
        <v>37925.134872000002</v>
      </c>
      <c r="L30" s="52">
        <f t="shared" si="15"/>
        <v>508586.69576222915</v>
      </c>
      <c r="M30" s="51">
        <f>+M26+M27+M28+M29</f>
        <v>470661.56089022913</v>
      </c>
      <c r="N30" s="51">
        <f>+N26+N27+N28+N29</f>
        <v>37925.134872000002</v>
      </c>
      <c r="O30" s="52">
        <f t="shared" si="16"/>
        <v>508586.69576222915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426198.54701207735</v>
      </c>
      <c r="E31" s="53">
        <v>0</v>
      </c>
      <c r="F31" s="48">
        <f t="shared" si="13"/>
        <v>426198.54701207735</v>
      </c>
      <c r="G31" s="147">
        <f>VLOOKUP($A$1,REM_ToolEnrico!$B$5:$J$38,4,FALSE)</f>
        <v>306979.14443875075</v>
      </c>
      <c r="H31" s="53">
        <v>0</v>
      </c>
      <c r="I31" s="48">
        <f t="shared" si="14"/>
        <v>306979.14443875075</v>
      </c>
      <c r="J31" s="147">
        <f>VLOOKUP($A$1,REM_ToolEnrico!$B$5:$J$38,6,FALSE)</f>
        <v>285179.03843713959</v>
      </c>
      <c r="K31" s="53">
        <v>0</v>
      </c>
      <c r="L31" s="48">
        <f t="shared" si="15"/>
        <v>285179.03843713959</v>
      </c>
      <c r="M31" s="147">
        <f>VLOOKUP($A$1,REM_ToolEnrico!$B$5:$J$38,8,FALSE)</f>
        <v>306507.70781174116</v>
      </c>
      <c r="N31" s="53">
        <v>0</v>
      </c>
      <c r="O31" s="48">
        <f t="shared" si="16"/>
        <v>306507.70781174116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170000</v>
      </c>
      <c r="F32" s="48">
        <f t="shared" si="13"/>
        <v>170000</v>
      </c>
      <c r="G32" s="54">
        <f>+G33+G34+G35+G36</f>
        <v>0</v>
      </c>
      <c r="H32" s="54">
        <f>+H33+H34+H35+H36</f>
        <v>190000</v>
      </c>
      <c r="I32" s="48">
        <f t="shared" si="14"/>
        <v>190000</v>
      </c>
      <c r="J32" s="54">
        <f>+J33+J34+J35+J36</f>
        <v>0</v>
      </c>
      <c r="K32" s="54">
        <f>+K33+K34+K35+K36</f>
        <v>190000</v>
      </c>
      <c r="L32" s="48">
        <f t="shared" si="15"/>
        <v>190000</v>
      </c>
      <c r="M32" s="54">
        <f>+M33+M34+M35+M36</f>
        <v>0</v>
      </c>
      <c r="N32" s="54">
        <f>+N33+N34+N35+N36</f>
        <v>190000</v>
      </c>
      <c r="O32" s="48">
        <f t="shared" si="16"/>
        <v>190000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170000</v>
      </c>
      <c r="F34" s="48">
        <f>D34+E34</f>
        <v>170000</v>
      </c>
      <c r="G34" s="47">
        <v>0</v>
      </c>
      <c r="H34" s="47">
        <v>190000</v>
      </c>
      <c r="I34" s="48">
        <f>G34+H34</f>
        <v>190000</v>
      </c>
      <c r="J34" s="47">
        <v>0</v>
      </c>
      <c r="K34" s="158">
        <v>190000</v>
      </c>
      <c r="L34" s="48">
        <f t="shared" si="15"/>
        <v>190000</v>
      </c>
      <c r="M34" s="47">
        <v>0</v>
      </c>
      <c r="N34" s="158">
        <v>190000</v>
      </c>
      <c r="O34" s="48">
        <f t="shared" si="16"/>
        <v>190000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117499.8753678033</v>
      </c>
      <c r="E37" s="47">
        <v>0</v>
      </c>
      <c r="F37" s="48">
        <f t="shared" si="13"/>
        <v>117499.8753678033</v>
      </c>
      <c r="G37" s="147">
        <f>VLOOKUP($A$1,REM_ToolEnrico!$B$5:$J$38,5,FALSE)</f>
        <v>93218.377867092131</v>
      </c>
      <c r="H37" s="47">
        <v>0</v>
      </c>
      <c r="I37" s="48">
        <f t="shared" si="17"/>
        <v>93218.377867092131</v>
      </c>
      <c r="J37" s="147">
        <f>VLOOKUP($A$1,REM_ToolEnrico!$B$5:$J$38,7,FALSE)</f>
        <v>92700.03613131716</v>
      </c>
      <c r="K37" s="47">
        <v>0</v>
      </c>
      <c r="L37" s="48">
        <f t="shared" si="15"/>
        <v>92700.03613131716</v>
      </c>
      <c r="M37" s="147">
        <f>VLOOKUP($A$1,REM_ToolEnrico!$B$5:$J$38,9,FALSE)</f>
        <v>91960.670617527328</v>
      </c>
      <c r="N37" s="47">
        <v>0</v>
      </c>
      <c r="O37" s="48">
        <f t="shared" si="16"/>
        <v>91960.670617527328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454.69131416741442</v>
      </c>
      <c r="E38" s="47">
        <v>0</v>
      </c>
      <c r="F38" s="48">
        <f t="shared" si="13"/>
        <v>454.69131416741442</v>
      </c>
      <c r="G38" s="47">
        <v>455.60069679574923</v>
      </c>
      <c r="H38" s="47">
        <v>0</v>
      </c>
      <c r="I38" s="48">
        <f t="shared" si="17"/>
        <v>455.60069679574923</v>
      </c>
      <c r="J38" s="47">
        <v>455.60069679574923</v>
      </c>
      <c r="K38" s="47">
        <v>0</v>
      </c>
      <c r="L38" s="48">
        <f t="shared" si="15"/>
        <v>455.60069679574923</v>
      </c>
      <c r="M38" s="47">
        <v>455.60069679574923</v>
      </c>
      <c r="N38" s="47">
        <v>0</v>
      </c>
      <c r="O38" s="48">
        <f t="shared" si="16"/>
        <v>455.60069679574923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544153.11369404802</v>
      </c>
      <c r="E40" s="51">
        <f>E38+E37+E32+E31+E39</f>
        <v>170000</v>
      </c>
      <c r="F40" s="52">
        <f t="shared" si="13"/>
        <v>714153.11369404802</v>
      </c>
      <c r="G40" s="51">
        <f>G38+G37+G32+G31+G39</f>
        <v>400653.12300263863</v>
      </c>
      <c r="H40" s="51">
        <f>H38+H37+H32+H31+H39</f>
        <v>190000</v>
      </c>
      <c r="I40" s="52">
        <f t="shared" si="17"/>
        <v>590653.12300263857</v>
      </c>
      <c r="J40" s="51">
        <f>J38+J37+J32+J31+J39</f>
        <v>378334.67526525247</v>
      </c>
      <c r="K40" s="51">
        <f>K38+K37+K32+K31+K39</f>
        <v>190000</v>
      </c>
      <c r="L40" s="52">
        <f t="shared" si="15"/>
        <v>568334.67526525247</v>
      </c>
      <c r="M40" s="51">
        <f>M38+M37+M32+M31+M39</f>
        <v>398923.97912606422</v>
      </c>
      <c r="N40" s="51">
        <f>N38+N37+N32+N31+N39</f>
        <v>190000</v>
      </c>
      <c r="O40" s="52">
        <f t="shared" si="16"/>
        <v>588923.97912606422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19645.192916268508</v>
      </c>
      <c r="E42" s="22">
        <v>0</v>
      </c>
      <c r="F42" s="36">
        <f t="shared" si="13"/>
        <v>19645.192916268508</v>
      </c>
      <c r="G42" s="22">
        <v>37016.344208788883</v>
      </c>
      <c r="H42" s="22">
        <v>0</v>
      </c>
      <c r="I42" s="36">
        <f t="shared" si="17"/>
        <v>37016.344208788883</v>
      </c>
      <c r="J42" s="22">
        <v>37016.344208788883</v>
      </c>
      <c r="K42" s="22">
        <v>0</v>
      </c>
      <c r="L42" s="36">
        <f t="shared" si="15"/>
        <v>37016.344208788883</v>
      </c>
      <c r="M42" s="22">
        <v>37016.344208788883</v>
      </c>
      <c r="N42" s="22">
        <v>0</v>
      </c>
      <c r="O42" s="36">
        <f t="shared" si="16"/>
        <v>37016.344208788883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0</v>
      </c>
      <c r="F44" s="36">
        <f t="shared" si="13"/>
        <v>0</v>
      </c>
      <c r="G44" s="57">
        <v>0</v>
      </c>
      <c r="H44" s="57">
        <v>16985.715228750007</v>
      </c>
      <c r="I44" s="36">
        <f t="shared" si="17"/>
        <v>16985.715228750007</v>
      </c>
      <c r="J44" s="57">
        <v>0</v>
      </c>
      <c r="K44" s="57">
        <v>5277.7446137500028</v>
      </c>
      <c r="L44" s="36">
        <f t="shared" si="15"/>
        <v>5277.7446137500028</v>
      </c>
      <c r="M44" s="57">
        <v>89588.166666666672</v>
      </c>
      <c r="N44" s="57">
        <v>0</v>
      </c>
      <c r="O44" s="36">
        <f>M44+N44</f>
        <v>89588.166666666672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v>0</v>
      </c>
      <c r="F45" s="36">
        <f>E45</f>
        <v>0</v>
      </c>
      <c r="G45" s="34"/>
      <c r="H45" s="22">
        <f>G47*0.1</f>
        <v>141086.24431154862</v>
      </c>
      <c r="I45" s="36">
        <f>H45</f>
        <v>141086.24431154862</v>
      </c>
      <c r="J45" s="34"/>
      <c r="K45" s="22">
        <f>J47*0.1</f>
        <v>138854.39953781001</v>
      </c>
      <c r="L45" s="36">
        <f>K45</f>
        <v>138854.39953781001</v>
      </c>
      <c r="M45" s="34"/>
      <c r="N45" s="22">
        <f>M47*0.1</f>
        <v>149872.14659055788</v>
      </c>
      <c r="O45" s="36">
        <f>N45</f>
        <v>149872.14659055788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1499745.4108373164</v>
      </c>
      <c r="E47" s="59">
        <f>E25+E30+E40+E41+E42+E43+E44+E45</f>
        <v>206945.25369735199</v>
      </c>
      <c r="F47" s="60">
        <f>D47+E47</f>
        <v>1706690.6645346684</v>
      </c>
      <c r="G47" s="59">
        <f>G25+G30+G40+G41+G42+G43+G44+G46</f>
        <v>1410862.4431154863</v>
      </c>
      <c r="H47" s="59">
        <f>H25+H30+H40+H41+H42+H43+H44+H45+H46</f>
        <v>385997.09441229864</v>
      </c>
      <c r="I47" s="60">
        <f>G47+H47</f>
        <v>1796859.5375277849</v>
      </c>
      <c r="J47" s="59">
        <f>J25+J30+J40+J41+J42+J43+J44+J46</f>
        <v>1388543.9953781001</v>
      </c>
      <c r="K47" s="59">
        <f>K25+K30+K40+K41+K42+K43+K44+K45+K46</f>
        <v>372057.27902356</v>
      </c>
      <c r="L47" s="60">
        <f>J47+K47</f>
        <v>1760601.2744016601</v>
      </c>
      <c r="M47" s="59">
        <f>M25+M30+M40+M41+M42+M43+M44+M46</f>
        <v>1498721.4659055788</v>
      </c>
      <c r="N47" s="59">
        <f>N25+N30+N40+N41+N42+N43+N44+N45+N46</f>
        <v>377797.28146255785</v>
      </c>
      <c r="O47" s="60">
        <f>M47+N47</f>
        <v>1876518.7473681367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3940016.310566132</v>
      </c>
      <c r="E49" s="65">
        <v>622841.53478271514</v>
      </c>
      <c r="F49" s="65">
        <f>D49+E49</f>
        <v>4562857.8453488471</v>
      </c>
      <c r="G49" s="65">
        <f>G50</f>
        <v>4028516.5227614767</v>
      </c>
      <c r="H49" s="65">
        <v>652377.03717689775</v>
      </c>
      <c r="I49" s="65">
        <f t="shared" ref="I49" si="21">G49+H49</f>
        <v>4680893.5599383749</v>
      </c>
      <c r="J49" s="65">
        <f>J50</f>
        <v>3926226.9454285987</v>
      </c>
      <c r="K49" s="65">
        <v>637262.73176189768</v>
      </c>
      <c r="L49" s="65">
        <f t="shared" ref="L49" si="22">J49+K49</f>
        <v>4563489.6771904966</v>
      </c>
      <c r="M49" s="65">
        <f>M50</f>
        <v>3906346.9334144103</v>
      </c>
      <c r="N49" s="65">
        <v>631984.98714814777</v>
      </c>
      <c r="O49" s="65">
        <f t="shared" ref="O49" si="23">M49+N49</f>
        <v>4538331.9205625579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3940016.310566132</v>
      </c>
      <c r="E50" s="59">
        <f t="shared" si="24"/>
        <v>595683.91862439795</v>
      </c>
      <c r="F50" s="59">
        <f t="shared" si="24"/>
        <v>4535700.2291905303</v>
      </c>
      <c r="G50" s="59">
        <f>+G23+G47</f>
        <v>4028516.5227614767</v>
      </c>
      <c r="H50" s="59">
        <f t="shared" si="24"/>
        <v>630776.78714814771</v>
      </c>
      <c r="I50" s="59">
        <f t="shared" si="24"/>
        <v>4659293.309909624</v>
      </c>
      <c r="J50" s="59">
        <f t="shared" si="24"/>
        <v>3926226.9454285987</v>
      </c>
      <c r="K50" s="59">
        <f>+K23+K47</f>
        <v>620547.82941485988</v>
      </c>
      <c r="L50" s="59">
        <f t="shared" si="24"/>
        <v>4546774.7748434581</v>
      </c>
      <c r="M50" s="59">
        <f>+M23+M47</f>
        <v>3906346.9334144103</v>
      </c>
      <c r="N50" s="59">
        <f t="shared" si="24"/>
        <v>500676.82821344101</v>
      </c>
      <c r="O50" s="59">
        <f t="shared" si="24"/>
        <v>4407023.7616278511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211511.938088811</v>
      </c>
      <c r="E51" s="68">
        <f>E44+E20</f>
        <v>0</v>
      </c>
      <c r="F51" s="146"/>
      <c r="G51" s="68">
        <f>G44+G20</f>
        <v>299616.77880382561</v>
      </c>
      <c r="H51" s="68">
        <f>H44+H20</f>
        <v>0</v>
      </c>
      <c r="I51" s="146"/>
      <c r="J51" s="68">
        <f>J44+J20</f>
        <v>219645.64920833334</v>
      </c>
      <c r="K51" s="68">
        <f>K44+K20</f>
        <v>0</v>
      </c>
      <c r="L51" s="146"/>
      <c r="M51" s="68">
        <f>M44+M20</f>
        <v>179176.33333333334</v>
      </c>
      <c r="N51" s="68">
        <f>N44+N20</f>
        <v>-117883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0.77070000000000005</v>
      </c>
      <c r="G53" s="72"/>
      <c r="H53" s="73"/>
      <c r="I53" s="74">
        <v>0.77070000000000005</v>
      </c>
      <c r="J53" s="72"/>
      <c r="K53" s="73"/>
      <c r="L53" s="74">
        <v>0.77070000000000005</v>
      </c>
      <c r="M53" s="72"/>
      <c r="N53" s="73"/>
      <c r="O53" s="74">
        <v>0.77070000000000005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12811.966</v>
      </c>
      <c r="G54" s="34"/>
      <c r="H54" s="76"/>
      <c r="I54" s="77">
        <v>12811.966</v>
      </c>
      <c r="J54" s="34"/>
      <c r="K54" s="76"/>
      <c r="L54" s="77">
        <v>12811.966</v>
      </c>
      <c r="M54" s="34"/>
      <c r="N54" s="76"/>
      <c r="O54" s="77">
        <v>12811.966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38.614515147987262</v>
      </c>
      <c r="G55" s="34"/>
      <c r="H55" s="76"/>
      <c r="I55" s="78">
        <v>34.78967460575528</v>
      </c>
      <c r="J55" s="34"/>
      <c r="K55" s="76"/>
      <c r="L55" s="78">
        <v>35.311840878822103</v>
      </c>
      <c r="M55" s="34"/>
      <c r="N55" s="76"/>
      <c r="O55" s="78">
        <v>36.121450078254185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32.831592744923817</v>
      </c>
      <c r="G56" s="81"/>
      <c r="H56" s="82"/>
      <c r="I56" s="78">
        <v>32.831592744923817</v>
      </c>
      <c r="J56" s="81"/>
      <c r="K56" s="82"/>
      <c r="L56" s="78">
        <v>32.831592744923817</v>
      </c>
      <c r="M56" s="81"/>
      <c r="N56" s="82"/>
      <c r="O56" s="78">
        <v>32.831592744923817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-0.14500000000000057</v>
      </c>
      <c r="G59" s="87"/>
      <c r="H59" s="73"/>
      <c r="I59" s="86">
        <v>-0.14500000000000057</v>
      </c>
      <c r="J59" s="72"/>
      <c r="K59" s="73"/>
      <c r="L59" s="88">
        <v>-0.14500000000000057</v>
      </c>
      <c r="M59" s="72"/>
      <c r="N59" s="73"/>
      <c r="O59" s="88">
        <v>-0.14500000000000057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0</v>
      </c>
      <c r="G60" s="90"/>
      <c r="H60" s="76"/>
      <c r="I60" s="89">
        <v>0</v>
      </c>
      <c r="J60" s="34"/>
      <c r="K60" s="91"/>
      <c r="L60" s="89">
        <v>0</v>
      </c>
      <c r="M60" s="34"/>
      <c r="N60" s="76"/>
      <c r="O60" s="89">
        <v>0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-0.14500000000000057</v>
      </c>
      <c r="G61" s="90"/>
      <c r="H61" s="76"/>
      <c r="I61" s="92">
        <v>-0.14500000000000057</v>
      </c>
      <c r="J61" s="34"/>
      <c r="K61" s="76"/>
      <c r="L61" s="93">
        <v>-0.14500000000000057</v>
      </c>
      <c r="M61" s="34"/>
      <c r="N61" s="76"/>
      <c r="O61" s="92">
        <v>-0.14500000000000057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0.85499999999999943</v>
      </c>
      <c r="G62" s="95"/>
      <c r="H62" s="82"/>
      <c r="I62" s="94">
        <v>0.85499999999999943</v>
      </c>
      <c r="J62" s="81"/>
      <c r="K62" s="82"/>
      <c r="L62" s="94">
        <v>0.85499999999999943</v>
      </c>
      <c r="M62" s="81"/>
      <c r="N62" s="82"/>
      <c r="O62" s="94">
        <v>0.85499999999999943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4535700.2291905303</v>
      </c>
      <c r="G72" s="34"/>
      <c r="H72" s="76"/>
      <c r="I72" s="108">
        <f>I50</f>
        <v>4659293.309909624</v>
      </c>
      <c r="J72" s="34"/>
      <c r="K72" s="76"/>
      <c r="L72" s="108">
        <f>L50</f>
        <v>4546774.7748434581</v>
      </c>
      <c r="M72" s="34"/>
      <c r="N72" s="76"/>
      <c r="O72" s="108">
        <f>O50</f>
        <v>4407023.7616278511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3106374.6062661707</v>
      </c>
      <c r="G73" s="34"/>
      <c r="H73" s="76"/>
      <c r="I73" s="110">
        <f>F81</f>
        <v>2829009.5646558614</v>
      </c>
      <c r="J73" s="34"/>
      <c r="K73" s="76"/>
      <c r="L73" s="110">
        <f>I81</f>
        <v>2862433.7723818393</v>
      </c>
      <c r="M73" s="34"/>
      <c r="N73" s="76"/>
      <c r="O73" s="110">
        <f>L81</f>
        <v>2786173.500441798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1350866.6757338298</v>
      </c>
      <c r="G74" s="34"/>
      <c r="H74" s="76"/>
      <c r="I74" s="110">
        <f>F82</f>
        <v>1706690.6645346684</v>
      </c>
      <c r="J74" s="34"/>
      <c r="K74" s="76"/>
      <c r="L74" s="110">
        <f>I82</f>
        <v>1796859.5375277849</v>
      </c>
      <c r="M74" s="34"/>
      <c r="N74" s="76"/>
      <c r="O74" s="110">
        <f>L82</f>
        <v>1760601.2744016603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4457241.2820000006</v>
      </c>
      <c r="G75" s="34"/>
      <c r="H75" s="76"/>
      <c r="I75" s="111">
        <f>SUM(I73:I74)</f>
        <v>4535700.2291905303</v>
      </c>
      <c r="J75" s="34"/>
      <c r="K75" s="76"/>
      <c r="L75" s="111">
        <f>SUM(L73:L74)</f>
        <v>4659293.309909624</v>
      </c>
      <c r="M75" s="34"/>
      <c r="N75" s="76"/>
      <c r="O75" s="111">
        <f>SUM(O73:O74)</f>
        <v>4546774.7748434581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1.0176025802119746</v>
      </c>
      <c r="G76" s="81"/>
      <c r="H76" s="82"/>
      <c r="I76" s="112">
        <f>I72/I75</f>
        <v>1.0272489526366144</v>
      </c>
      <c r="J76" s="81"/>
      <c r="K76" s="82"/>
      <c r="L76" s="112">
        <f>L72/L75</f>
        <v>0.97585072937416162</v>
      </c>
      <c r="M76" s="81"/>
      <c r="N76" s="82"/>
      <c r="O76" s="112">
        <f>O72/O75</f>
        <v>0.96926370446391452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4535700.2291905303</v>
      </c>
      <c r="G78" s="73"/>
      <c r="H78" s="73"/>
      <c r="I78" s="115">
        <f>IF(I72&lt;=I75*I71,I72,I75*I71)</f>
        <v>4659293.309909624</v>
      </c>
      <c r="J78" s="73"/>
      <c r="K78" s="73"/>
      <c r="L78" s="115">
        <f>IF(L72&lt;=L75*L71,L72,L75*L71)</f>
        <v>4546774.7748434581</v>
      </c>
      <c r="M78" s="73"/>
      <c r="N78" s="73"/>
      <c r="O78" s="115">
        <f>IF(O72&lt;=O75*O71,O72,O75*O71)</f>
        <v>4407023.7616278511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2440270.8997288155</v>
      </c>
      <c r="E81" s="120">
        <f>E23</f>
        <v>388738.66492704593</v>
      </c>
      <c r="F81" s="115">
        <f>D81+E81</f>
        <v>2829009.5646558614</v>
      </c>
      <c r="G81" s="119">
        <f>G23-I79</f>
        <v>2617654.0796459904</v>
      </c>
      <c r="H81" s="120">
        <f>H23</f>
        <v>244779.69273584906</v>
      </c>
      <c r="I81" s="115">
        <f>G81+H81</f>
        <v>2862433.7723818393</v>
      </c>
      <c r="J81" s="119">
        <f>J23-L79</f>
        <v>2537682.9500504984</v>
      </c>
      <c r="K81" s="120">
        <f>K23</f>
        <v>248490.55039129985</v>
      </c>
      <c r="L81" s="115">
        <f>J81+K81</f>
        <v>2786173.500441798</v>
      </c>
      <c r="M81" s="119">
        <f>M23-O79</f>
        <v>2407625.4675088315</v>
      </c>
      <c r="N81" s="120">
        <f>N23</f>
        <v>122879.54675088316</v>
      </c>
      <c r="O81" s="115">
        <f>M81+N81</f>
        <v>2530505.0142597146</v>
      </c>
    </row>
    <row r="82" spans="1:52" s="14" customFormat="1" ht="20" customHeight="1" thickBot="1">
      <c r="B82" s="118" t="s">
        <v>72</v>
      </c>
      <c r="D82" s="121">
        <f>D50-D81-F79</f>
        <v>1499745.4108373164</v>
      </c>
      <c r="E82" s="122">
        <f>E50-E81</f>
        <v>206945.25369735202</v>
      </c>
      <c r="F82" s="123">
        <f>D82+E82</f>
        <v>1706690.6645346684</v>
      </c>
      <c r="G82" s="121">
        <f>G49-G81-I79</f>
        <v>1410862.4431154863</v>
      </c>
      <c r="H82" s="122">
        <f>H50-H81</f>
        <v>385997.09441229864</v>
      </c>
      <c r="I82" s="123">
        <f>G82+H82</f>
        <v>1796859.5375277849</v>
      </c>
      <c r="J82" s="121">
        <f>J50-J81-L79</f>
        <v>1388543.9953781003</v>
      </c>
      <c r="K82" s="122">
        <f>K50-K81</f>
        <v>372057.27902356</v>
      </c>
      <c r="L82" s="123">
        <f>J82+K82</f>
        <v>1760601.2744016603</v>
      </c>
      <c r="M82" s="121">
        <f>M49-M81-O79</f>
        <v>1498721.4659055788</v>
      </c>
      <c r="N82" s="122">
        <f>N50-N81</f>
        <v>377797.28146255785</v>
      </c>
      <c r="O82" s="123">
        <f>M82+N82</f>
        <v>1876518.7473681367</v>
      </c>
    </row>
    <row r="83" spans="1:52" s="124" customFormat="1" ht="17.25" customHeight="1" thickBot="1">
      <c r="B83" s="125" t="s">
        <v>73</v>
      </c>
      <c r="C83" s="14"/>
      <c r="D83" s="126">
        <f>SUM(D81:D82)</f>
        <v>3940016.310566132</v>
      </c>
      <c r="E83" s="127">
        <f t="shared" ref="E83:O83" si="25">SUM(E81:E82)</f>
        <v>595683.91862439795</v>
      </c>
      <c r="F83" s="128">
        <f t="shared" si="25"/>
        <v>4535700.2291905303</v>
      </c>
      <c r="G83" s="126">
        <f t="shared" si="25"/>
        <v>4028516.5227614767</v>
      </c>
      <c r="H83" s="127">
        <f t="shared" si="25"/>
        <v>630776.78714814771</v>
      </c>
      <c r="I83" s="128">
        <f t="shared" si="25"/>
        <v>4659293.309909624</v>
      </c>
      <c r="J83" s="126">
        <f t="shared" si="25"/>
        <v>3926226.9454285987</v>
      </c>
      <c r="K83" s="127">
        <f t="shared" si="25"/>
        <v>620547.82941485988</v>
      </c>
      <c r="L83" s="128">
        <f t="shared" si="25"/>
        <v>4546774.7748434581</v>
      </c>
      <c r="M83" s="126">
        <f t="shared" si="25"/>
        <v>3906346.9334144103</v>
      </c>
      <c r="N83" s="127">
        <f t="shared" si="25"/>
        <v>500676.82821344101</v>
      </c>
      <c r="O83" s="128">
        <f t="shared" si="25"/>
        <v>4407023.7616278511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/>
      <c r="G85" s="73"/>
      <c r="H85" s="73"/>
      <c r="I85" s="131"/>
      <c r="J85" s="73"/>
      <c r="K85" s="73"/>
      <c r="L85" s="131"/>
      <c r="M85" s="73"/>
      <c r="N85" s="73"/>
      <c r="O85" s="131"/>
    </row>
    <row r="86" spans="1:52" s="14" customFormat="1" ht="20" customHeight="1" thickBot="1">
      <c r="B86" s="130" t="s">
        <v>75</v>
      </c>
      <c r="D86" s="81"/>
      <c r="E86" s="82"/>
      <c r="F86" s="132"/>
      <c r="G86" s="82"/>
      <c r="H86" s="82"/>
      <c r="I86" s="132"/>
      <c r="J86" s="82"/>
      <c r="K86" s="82"/>
      <c r="L86" s="132"/>
      <c r="M86" s="82"/>
      <c r="N86" s="82"/>
      <c r="O86" s="132"/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2829009.5646558614</v>
      </c>
      <c r="G88" s="72"/>
      <c r="H88" s="73"/>
      <c r="I88" s="136">
        <f>I81-I85</f>
        <v>2862433.7723818393</v>
      </c>
      <c r="J88" s="72"/>
      <c r="K88" s="73"/>
      <c r="L88" s="136">
        <f>L81-L85</f>
        <v>2786173.500441798</v>
      </c>
      <c r="M88" s="72"/>
      <c r="N88" s="73"/>
      <c r="O88" s="136">
        <f>O81-O85</f>
        <v>2530505.0142597146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1706690.6645346684</v>
      </c>
      <c r="G89" s="34"/>
      <c r="H89" s="76"/>
      <c r="I89" s="138">
        <f>I82-I86</f>
        <v>1796859.5375277849</v>
      </c>
      <c r="J89" s="34"/>
      <c r="K89" s="76"/>
      <c r="L89" s="138">
        <f>L82-L86</f>
        <v>1760601.2744016603</v>
      </c>
      <c r="M89" s="34"/>
      <c r="N89" s="76"/>
      <c r="O89" s="138">
        <f>O82-O86</f>
        <v>1876518.7473681367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4535700.2291905303</v>
      </c>
      <c r="G90" s="81"/>
      <c r="H90" s="82"/>
      <c r="I90" s="139">
        <f>+I88+I89</f>
        <v>4659293.309909624</v>
      </c>
      <c r="J90" s="81"/>
      <c r="K90" s="82"/>
      <c r="L90" s="139">
        <f>+L88+L89</f>
        <v>4546774.7748434581</v>
      </c>
      <c r="M90" s="81"/>
      <c r="N90" s="82"/>
      <c r="O90" s="139">
        <f>+O88+O89</f>
        <v>4407023.7616278511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-561.41242641482677</v>
      </c>
      <c r="E92" s="143">
        <v>0</v>
      </c>
      <c r="F92" s="144">
        <f>D92+E92</f>
        <v>-561.41242641482677</v>
      </c>
      <c r="G92" s="142">
        <v>-26614.243917929496</v>
      </c>
      <c r="H92" s="143">
        <v>0</v>
      </c>
      <c r="I92" s="144">
        <f>G92+H92</f>
        <v>-26614.243917929496</v>
      </c>
      <c r="J92" s="142">
        <v>-26614.243917929496</v>
      </c>
      <c r="K92" s="143">
        <v>0</v>
      </c>
      <c r="L92" s="144">
        <f>J92+K92</f>
        <v>-26614.243917929496</v>
      </c>
      <c r="M92" s="142">
        <v>-26614.243917929496</v>
      </c>
      <c r="N92" s="143">
        <v>0</v>
      </c>
      <c r="O92" s="144">
        <f>M92+N92</f>
        <v>-26614.243917929496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3887386.6492704595</v>
      </c>
      <c r="E96" s="166">
        <f>E6+E7+E8+E9+E11+E25+E30+E40+E42+E21+E45</f>
        <v>595683.91862439795</v>
      </c>
      <c r="F96" s="166">
        <f t="shared" ref="F96" si="26">F6+F7+F8+F9+F11+F25+F30+F40+F42</f>
        <v>4094331.9029678116</v>
      </c>
      <c r="G96" s="166">
        <f t="shared" ref="G96" si="27">G6+G7+G8+G9+G11+G25+G30+G40+G42+G21+G45</f>
        <v>3887623.2971975501</v>
      </c>
      <c r="H96" s="166">
        <f t="shared" ref="H96" si="28">H6+H7+H8+H9+H11+H25+H30+H40+H42</f>
        <v>227925.134872</v>
      </c>
      <c r="I96" s="166">
        <f t="shared" ref="I96" si="29">I6+I7+I8+I9+I11+I25+I30+I40+I42+I21+I45</f>
        <v>4518400.0843456984</v>
      </c>
      <c r="J96" s="166">
        <f t="shared" ref="J96" si="30">J6+J7+J8+J9+J11+J25+J30+J40+J42</f>
        <v>3865304.8494601641</v>
      </c>
      <c r="K96" s="166">
        <f t="shared" ref="K96" si="31">K6+K7+K8+K9+K11+K25+K30+K40+K42+K21+K45</f>
        <v>620547.82941485988</v>
      </c>
      <c r="L96" s="166">
        <f t="shared" ref="L96" si="32">L6+L7+L8+L9+L11+L25+L30+L40+L42</f>
        <v>4093229.9843321643</v>
      </c>
      <c r="M96" s="166">
        <f t="shared" ref="M96" si="33">M6+M7+M8+M9+M11+M25+M30+M40+M42+M21+M45</f>
        <v>3885894.1533209756</v>
      </c>
      <c r="N96" s="166">
        <f t="shared" ref="N96" si="34">N6+N7+N8+N9+N11+N25+N30+N40+N42</f>
        <v>227925.134872</v>
      </c>
      <c r="O96" s="166">
        <f t="shared" ref="O96" si="35">O6+O7+O8+O9+O11+O25+O30+O40+O42+O21+O45</f>
        <v>4504453.9815344168</v>
      </c>
    </row>
    <row r="97" spans="4:15" s="14" customFormat="1">
      <c r="D97" s="166">
        <f>D96-D15-D19</f>
        <v>3728504.372477321</v>
      </c>
      <c r="E97" s="166">
        <f>E96-E15-E19</f>
        <v>595683.91862439795</v>
      </c>
      <c r="F97" s="166">
        <f t="shared" ref="F97:O97" si="36">F96-F15-F19</f>
        <v>3935449.626174673</v>
      </c>
      <c r="G97" s="166">
        <f t="shared" si="36"/>
        <v>3728899.7439576513</v>
      </c>
      <c r="H97" s="166">
        <f t="shared" si="36"/>
        <v>227925.134872</v>
      </c>
      <c r="I97" s="166">
        <f t="shared" si="36"/>
        <v>4359676.5311057987</v>
      </c>
      <c r="J97" s="166">
        <f t="shared" si="36"/>
        <v>3706581.2962202653</v>
      </c>
      <c r="K97" s="166">
        <f t="shared" si="36"/>
        <v>620547.82941485988</v>
      </c>
      <c r="L97" s="166">
        <f t="shared" si="36"/>
        <v>3934506.4310922655</v>
      </c>
      <c r="M97" s="166">
        <f t="shared" si="36"/>
        <v>3727170.6000810768</v>
      </c>
      <c r="N97" s="166">
        <f t="shared" si="36"/>
        <v>227925.134872</v>
      </c>
      <c r="O97" s="166">
        <f t="shared" si="36"/>
        <v>4345730.4282945171</v>
      </c>
    </row>
    <row r="98" spans="4:15" s="14" customFormat="1">
      <c r="D98" s="166">
        <f>D20+D44</f>
        <v>211511.938088811</v>
      </c>
      <c r="E98" s="166">
        <f>E20+E44</f>
        <v>0</v>
      </c>
      <c r="F98" s="166">
        <f t="shared" ref="F98:O98" si="37">F20+F44</f>
        <v>211511.938088811</v>
      </c>
      <c r="G98" s="166">
        <f t="shared" si="37"/>
        <v>299616.77880382561</v>
      </c>
      <c r="H98" s="166">
        <f t="shared" si="37"/>
        <v>0</v>
      </c>
      <c r="I98" s="166">
        <f t="shared" si="37"/>
        <v>299616.77880382561</v>
      </c>
      <c r="J98" s="166">
        <f t="shared" si="37"/>
        <v>219645.64920833334</v>
      </c>
      <c r="K98" s="166">
        <f t="shared" si="37"/>
        <v>0</v>
      </c>
      <c r="L98" s="166">
        <f t="shared" si="37"/>
        <v>219645.64920833334</v>
      </c>
      <c r="M98" s="166">
        <f t="shared" si="37"/>
        <v>179176.33333333334</v>
      </c>
      <c r="N98" s="166">
        <f t="shared" si="37"/>
        <v>-117883</v>
      </c>
      <c r="O98" s="166">
        <f t="shared" si="37"/>
        <v>61293.333333333343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17" priority="7" operator="containsText" text="ERRORE">
      <formula>NOT(ISERROR(SEARCH("ERRORE",F81)))</formula>
    </cfRule>
  </conditionalFormatting>
  <conditionalFormatting sqref="I83">
    <cfRule type="containsText" dxfId="116" priority="6" operator="containsText" text="ERRORE">
      <formula>NOT(ISERROR(SEARCH("ERRORE",I83)))</formula>
    </cfRule>
  </conditionalFormatting>
  <conditionalFormatting sqref="I81:I82">
    <cfRule type="containsText" dxfId="115" priority="5" operator="containsText" text="ERRORE">
      <formula>NOT(ISERROR(SEARCH("ERRORE",I81)))</formula>
    </cfRule>
  </conditionalFormatting>
  <conditionalFormatting sqref="L83">
    <cfRule type="containsText" dxfId="114" priority="4" operator="containsText" text="ERRORE">
      <formula>NOT(ISERROR(SEARCH("ERRORE",L83)))</formula>
    </cfRule>
  </conditionalFormatting>
  <conditionalFormatting sqref="L81:L82">
    <cfRule type="containsText" dxfId="113" priority="3" operator="containsText" text="ERRORE">
      <formula>NOT(ISERROR(SEARCH("ERRORE",L81)))</formula>
    </cfRule>
  </conditionalFormatting>
  <conditionalFormatting sqref="O83">
    <cfRule type="containsText" dxfId="112" priority="2" operator="containsText" text="ERRORE">
      <formula>NOT(ISERROR(SEARCH("ERRORE",O83)))</formula>
    </cfRule>
  </conditionalFormatting>
  <conditionalFormatting sqref="O81:O82">
    <cfRule type="containsText" dxfId="111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C31" zoomScale="70" zoomScaleNormal="70" zoomScalePageLayoutView="70" workbookViewId="0">
      <selection activeCell="H51" sqref="H51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102</v>
      </c>
      <c r="B1" s="2" t="str">
        <f>"       PEF 2022 - 2025"&amp;" - "&amp;A1</f>
        <v xml:space="preserve">       PEF 2022 - 2025 - Musile di Piave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150</v>
      </c>
      <c r="E4" s="188"/>
      <c r="F4" s="189"/>
      <c r="G4" s="187" t="str">
        <f>D4</f>
        <v>Ambito tariffario: MUSILE DI PIAVE</v>
      </c>
      <c r="H4" s="188"/>
      <c r="I4" s="189"/>
      <c r="J4" s="187" t="str">
        <f>D4</f>
        <v>Ambito tariffario: MUSILE DI PIAVE</v>
      </c>
      <c r="K4" s="188"/>
      <c r="L4" s="189"/>
      <c r="M4" s="187" t="str">
        <f>D4</f>
        <v>Ambito tariffario: MUSILE DI PIAVE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132808.87419656888</v>
      </c>
      <c r="E6" s="22">
        <v>0</v>
      </c>
      <c r="F6" s="23">
        <f>D6+E6</f>
        <v>132808.87419656888</v>
      </c>
      <c r="G6" s="22">
        <v>137384.64467489626</v>
      </c>
      <c r="H6" s="22">
        <v>0</v>
      </c>
      <c r="I6" s="23">
        <f>G6+H6</f>
        <v>137384.64467489626</v>
      </c>
      <c r="J6" s="22">
        <v>137384.64467489626</v>
      </c>
      <c r="K6" s="22">
        <v>0</v>
      </c>
      <c r="L6" s="23">
        <f>J6+K6</f>
        <v>137384.64467489626</v>
      </c>
      <c r="M6" s="22">
        <v>137384.64467489626</v>
      </c>
      <c r="N6" s="22">
        <v>0</v>
      </c>
      <c r="O6" s="23">
        <f>M6+N6</f>
        <v>137384.64467489626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193959.11863040979</v>
      </c>
      <c r="E7" s="22">
        <v>0</v>
      </c>
      <c r="F7" s="23">
        <f t="shared" ref="F7:F20" si="0">D7+E7</f>
        <v>193959.11863040979</v>
      </c>
      <c r="G7" s="22">
        <v>203032.81566090515</v>
      </c>
      <c r="H7" s="22">
        <v>0</v>
      </c>
      <c r="I7" s="23">
        <f t="shared" ref="I7:I13" si="1">G7+H7</f>
        <v>203032.81566090515</v>
      </c>
      <c r="J7" s="22">
        <v>203032.81566090515</v>
      </c>
      <c r="K7" s="22">
        <v>0</v>
      </c>
      <c r="L7" s="23">
        <f t="shared" ref="L7:L12" si="2">J7+K7</f>
        <v>203032.81566090515</v>
      </c>
      <c r="M7" s="22">
        <v>203032.81566090515</v>
      </c>
      <c r="N7" s="22">
        <v>0</v>
      </c>
      <c r="O7" s="23">
        <f t="shared" ref="O7:O13" si="3">M7+N7</f>
        <v>203032.81566090515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192227.29685056477</v>
      </c>
      <c r="E8" s="22">
        <v>0</v>
      </c>
      <c r="F8" s="23">
        <f t="shared" si="0"/>
        <v>192227.29685056477</v>
      </c>
      <c r="G8" s="22">
        <v>201224.69094590627</v>
      </c>
      <c r="H8" s="22">
        <v>0</v>
      </c>
      <c r="I8" s="23">
        <f t="shared" si="1"/>
        <v>201224.69094590627</v>
      </c>
      <c r="J8" s="22">
        <v>201224.69094590627</v>
      </c>
      <c r="K8" s="22">
        <v>0</v>
      </c>
      <c r="L8" s="23">
        <f t="shared" si="2"/>
        <v>201224.69094590627</v>
      </c>
      <c r="M8" s="22">
        <v>201224.69094590627</v>
      </c>
      <c r="N8" s="22">
        <v>0</v>
      </c>
      <c r="O8" s="23">
        <f t="shared" si="3"/>
        <v>201224.69094590627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301144.33270540938</v>
      </c>
      <c r="E9" s="22">
        <v>0</v>
      </c>
      <c r="F9" s="23">
        <f t="shared" si="0"/>
        <v>301144.33270540938</v>
      </c>
      <c r="G9" s="22">
        <v>309649.79279680119</v>
      </c>
      <c r="H9" s="22">
        <v>0</v>
      </c>
      <c r="I9" s="23">
        <f t="shared" si="1"/>
        <v>309649.79279680119</v>
      </c>
      <c r="J9" s="22">
        <v>309649.79279680119</v>
      </c>
      <c r="K9" s="22">
        <v>0</v>
      </c>
      <c r="L9" s="23">
        <f t="shared" si="2"/>
        <v>309649.79279680119</v>
      </c>
      <c r="M9" s="22">
        <v>309649.79279680119</v>
      </c>
      <c r="N9" s="22">
        <v>0</v>
      </c>
      <c r="O9" s="23">
        <f t="shared" si="3"/>
        <v>309649.79279680119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4055.8023802727762</v>
      </c>
      <c r="E11" s="22">
        <v>0</v>
      </c>
      <c r="F11" s="23">
        <f t="shared" si="0"/>
        <v>4055.8023802727762</v>
      </c>
      <c r="G11" s="22">
        <v>4055.8023802727762</v>
      </c>
      <c r="H11" s="22">
        <v>0</v>
      </c>
      <c r="I11" s="23">
        <f t="shared" si="1"/>
        <v>4055.8023802727762</v>
      </c>
      <c r="J11" s="22">
        <v>4055.8023802727762</v>
      </c>
      <c r="K11" s="22">
        <v>0</v>
      </c>
      <c r="L11" s="23">
        <f t="shared" si="2"/>
        <v>4055.8023802727762</v>
      </c>
      <c r="M11" s="22">
        <v>4055.8023802727762</v>
      </c>
      <c r="N11" s="22">
        <v>0</v>
      </c>
      <c r="O11" s="23">
        <f t="shared" si="3"/>
        <v>4055.8023802727762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86560.309007194955</v>
      </c>
      <c r="E13" s="22">
        <v>0</v>
      </c>
      <c r="F13" s="23">
        <f t="shared" si="0"/>
        <v>86560.309007194955</v>
      </c>
      <c r="G13" s="22">
        <v>86473.83517202294</v>
      </c>
      <c r="H13" s="22">
        <v>0</v>
      </c>
      <c r="I13" s="23">
        <f t="shared" si="1"/>
        <v>86473.83517202294</v>
      </c>
      <c r="J13" s="22">
        <v>86473.83517202294</v>
      </c>
      <c r="K13" s="22">
        <v>0</v>
      </c>
      <c r="L13" s="23">
        <f>J13+K13</f>
        <v>86473.83517202294</v>
      </c>
      <c r="M13" s="22">
        <v>86473.83517202294</v>
      </c>
      <c r="N13" s="22">
        <v>0</v>
      </c>
      <c r="O13" s="23">
        <f t="shared" si="3"/>
        <v>86473.83517202294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51936.185404316973</v>
      </c>
      <c r="E15" s="22">
        <v>0</v>
      </c>
      <c r="F15" s="23">
        <f t="shared" si="0"/>
        <v>51936.185404316973</v>
      </c>
      <c r="G15" s="22">
        <v>51884.301103213766</v>
      </c>
      <c r="H15" s="22">
        <v>0</v>
      </c>
      <c r="I15" s="23">
        <f t="shared" ref="I15:I16" si="4">G15+H15</f>
        <v>51884.301103213766</v>
      </c>
      <c r="J15" s="22">
        <v>51884.301103213766</v>
      </c>
      <c r="K15" s="22">
        <v>0</v>
      </c>
      <c r="L15" s="23">
        <f t="shared" ref="L15:L16" si="5">J15+K15</f>
        <v>51884.301103213766</v>
      </c>
      <c r="M15" s="22">
        <v>51884.301103213766</v>
      </c>
      <c r="N15" s="22">
        <v>0</v>
      </c>
      <c r="O15" s="23">
        <f t="shared" ref="O15:O16" si="6">M15+N15</f>
        <v>51884.301103213766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1891.4009323663486</v>
      </c>
      <c r="E16" s="22">
        <v>0</v>
      </c>
      <c r="F16" s="23">
        <f t="shared" si="0"/>
        <v>1891.4009323663486</v>
      </c>
      <c r="G16" s="22">
        <v>1889.5114209454034</v>
      </c>
      <c r="H16" s="22">
        <v>0</v>
      </c>
      <c r="I16" s="23">
        <f t="shared" si="4"/>
        <v>1889.5114209454034</v>
      </c>
      <c r="J16" s="22">
        <v>1889.5114209454034</v>
      </c>
      <c r="K16" s="22">
        <v>0</v>
      </c>
      <c r="L16" s="23">
        <f t="shared" si="5"/>
        <v>1889.5114209454034</v>
      </c>
      <c r="M16" s="22">
        <v>1889.5114209454034</v>
      </c>
      <c r="N16" s="22">
        <v>0</v>
      </c>
      <c r="O16" s="23">
        <f t="shared" si="6"/>
        <v>1889.5114209454034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1248.3246153617902</v>
      </c>
      <c r="E19" s="22">
        <v>0</v>
      </c>
      <c r="F19" s="23">
        <f t="shared" si="0"/>
        <v>1248.3246153617902</v>
      </c>
      <c r="G19" s="22">
        <v>1247.0775378239664</v>
      </c>
      <c r="H19" s="22">
        <v>0</v>
      </c>
      <c r="I19" s="23">
        <f t="shared" ref="I19:I20" si="7">G19+H19</f>
        <v>1247.0775378239664</v>
      </c>
      <c r="J19" s="22">
        <v>1247.0775378239664</v>
      </c>
      <c r="K19" s="22">
        <v>0</v>
      </c>
      <c r="L19" s="23">
        <f t="shared" ref="L19:L20" si="8">J19+K19</f>
        <v>1247.0775378239664</v>
      </c>
      <c r="M19" s="32">
        <v>1247.0775378239664</v>
      </c>
      <c r="N19" s="33">
        <v>0</v>
      </c>
      <c r="O19" s="23">
        <f t="shared" ref="O19:O20" si="9">M19+N19</f>
        <v>1247.0775378239664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-2803.1675402866967</v>
      </c>
      <c r="E20" s="22">
        <v>-2247.0692671338234</v>
      </c>
      <c r="F20" s="23">
        <f t="shared" si="0"/>
        <v>-5050.2368074205206</v>
      </c>
      <c r="G20" s="22">
        <v>-33962.099757286043</v>
      </c>
      <c r="H20" s="22">
        <v>-2247.0692671338234</v>
      </c>
      <c r="I20" s="23">
        <f t="shared" si="7"/>
        <v>-36209.169024419869</v>
      </c>
      <c r="J20" s="22">
        <v>-6227.871000000001</v>
      </c>
      <c r="K20" s="22">
        <v>0</v>
      </c>
      <c r="L20" s="23">
        <f t="shared" si="8"/>
        <v>-6227.871000000001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76820.774720326022</v>
      </c>
      <c r="F21" s="23">
        <f>E21</f>
        <v>76820.774720326022</v>
      </c>
      <c r="G21" s="34"/>
      <c r="H21" s="22">
        <f>G23*0.1</f>
        <v>76825.426806045798</v>
      </c>
      <c r="I21" s="23">
        <f>H21</f>
        <v>76825.426806045798</v>
      </c>
      <c r="J21" s="34"/>
      <c r="K21" s="22">
        <f>J23*0.1</f>
        <v>79598.849681774387</v>
      </c>
      <c r="L21" s="23">
        <f>K21</f>
        <v>79598.849681774387</v>
      </c>
      <c r="M21" s="34"/>
      <c r="N21" s="22">
        <f>M23*0.1</f>
        <v>80221.636781774403</v>
      </c>
      <c r="O21" s="23">
        <f>N21</f>
        <v>80221.636781774403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768207.74720326019</v>
      </c>
      <c r="E23" s="38">
        <f>E6+E7+E8+E9+E10+E11+E12-E15-E19+E20+E21</f>
        <v>74573.705453192204</v>
      </c>
      <c r="F23" s="38">
        <f>D23+E23</f>
        <v>842781.45265645243</v>
      </c>
      <c r="G23" s="38">
        <f>G6+G7+G8+G9+G10+G11+G12-G15-G19+G20+G22</f>
        <v>768254.26806045789</v>
      </c>
      <c r="H23" s="38">
        <f>H6+H7+H8+H9+H10+H11+H12-H15-H19+H20+H21+H22</f>
        <v>74578.35753891198</v>
      </c>
      <c r="I23" s="38">
        <f>G23+H23</f>
        <v>842832.62559936987</v>
      </c>
      <c r="J23" s="38">
        <f>J6+J7+J8+J9+J10+J11+J12-J15-J19+J20+J22</f>
        <v>795988.49681774387</v>
      </c>
      <c r="K23" s="38">
        <f>K6+K7+K8+K9+K10+K11+K12-K15-K19+K20+K21+K22</f>
        <v>79598.849681774387</v>
      </c>
      <c r="L23" s="38">
        <f>J23+K23</f>
        <v>875587.34649951826</v>
      </c>
      <c r="M23" s="38">
        <f>M6+M7+M8+M9+M10+M11+M12-M15-M19+M20+M22</f>
        <v>802216.36781774391</v>
      </c>
      <c r="N23" s="38">
        <f>N6+N7+N8+N9+N10+N11+N12-N15-N19+N20+N21+N22</f>
        <v>80221.636781774403</v>
      </c>
      <c r="O23" s="38">
        <f>M23+N23</f>
        <v>882438.00459951838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157516.47876703792</v>
      </c>
      <c r="E25" s="44">
        <v>0</v>
      </c>
      <c r="F25" s="45">
        <f t="shared" ref="F25:F44" si="13">D25+E25</f>
        <v>157516.47876703792</v>
      </c>
      <c r="G25" s="44">
        <v>164645.20244279777</v>
      </c>
      <c r="H25" s="44">
        <v>0</v>
      </c>
      <c r="I25" s="45">
        <f t="shared" ref="I25:I33" si="14">G25+H25</f>
        <v>164645.20244279777</v>
      </c>
      <c r="J25" s="44">
        <v>164645.20244279777</v>
      </c>
      <c r="K25" s="44">
        <v>0</v>
      </c>
      <c r="L25" s="45">
        <f t="shared" ref="L25:L44" si="15">J25+K25</f>
        <v>164645.20244279777</v>
      </c>
      <c r="M25" s="44">
        <v>164645.20244279777</v>
      </c>
      <c r="N25" s="44">
        <v>0</v>
      </c>
      <c r="O25" s="45">
        <f t="shared" ref="O25:O43" si="16">M25+N25</f>
        <v>164645.20244279777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36033.718047707051</v>
      </c>
      <c r="E26" s="22">
        <v>0</v>
      </c>
      <c r="F26" s="36">
        <f t="shared" si="13"/>
        <v>36033.718047707051</v>
      </c>
      <c r="G26" s="22">
        <v>37089.297266487454</v>
      </c>
      <c r="H26" s="22">
        <v>0</v>
      </c>
      <c r="I26" s="36">
        <f t="shared" si="14"/>
        <v>37089.297266487454</v>
      </c>
      <c r="J26" s="22">
        <v>37089.297266487454</v>
      </c>
      <c r="K26" s="22">
        <v>0</v>
      </c>
      <c r="L26" s="36">
        <f t="shared" si="15"/>
        <v>37089.297266487454</v>
      </c>
      <c r="M26" s="22">
        <v>37089.297266487454</v>
      </c>
      <c r="N26" s="22">
        <v>0</v>
      </c>
      <c r="O26" s="36">
        <f t="shared" si="16"/>
        <v>37089.297266487454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93967.334266529273</v>
      </c>
      <c r="E27" s="47">
        <v>0</v>
      </c>
      <c r="F27" s="48">
        <f t="shared" si="13"/>
        <v>93967.334266529273</v>
      </c>
      <c r="G27" s="47">
        <v>97585.67672572819</v>
      </c>
      <c r="H27" s="47">
        <v>0</v>
      </c>
      <c r="I27" s="48">
        <f t="shared" si="14"/>
        <v>97585.67672572819</v>
      </c>
      <c r="J27" s="47">
        <v>97585.67672572819</v>
      </c>
      <c r="K27" s="47">
        <v>0</v>
      </c>
      <c r="L27" s="48">
        <f t="shared" si="15"/>
        <v>97585.67672572819</v>
      </c>
      <c r="M27" s="47">
        <v>97585.67672572819</v>
      </c>
      <c r="N27" s="47">
        <v>0</v>
      </c>
      <c r="O27" s="48">
        <f t="shared" si="16"/>
        <v>97585.67672572819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2433.3729877500427</v>
      </c>
      <c r="E29" s="47">
        <v>6910</v>
      </c>
      <c r="F29" s="48">
        <f t="shared" si="13"/>
        <v>9343.3729877500427</v>
      </c>
      <c r="G29" s="47">
        <v>2450.8547245540344</v>
      </c>
      <c r="H29" s="47">
        <v>6910</v>
      </c>
      <c r="I29" s="48">
        <f t="shared" si="14"/>
        <v>9360.854724554034</v>
      </c>
      <c r="J29" s="47">
        <v>2450.8547245540344</v>
      </c>
      <c r="K29" s="47">
        <v>6910</v>
      </c>
      <c r="L29" s="48">
        <f t="shared" si="15"/>
        <v>9360.854724554034</v>
      </c>
      <c r="M29" s="47">
        <v>2450.8547245540344</v>
      </c>
      <c r="N29" s="47">
        <v>6910</v>
      </c>
      <c r="O29" s="48">
        <f t="shared" si="16"/>
        <v>9360.854724554034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132434.42530198637</v>
      </c>
      <c r="E30" s="51">
        <f>+E26+E27+E28+E29</f>
        <v>6910</v>
      </c>
      <c r="F30" s="52">
        <f t="shared" si="13"/>
        <v>139344.42530198637</v>
      </c>
      <c r="G30" s="51">
        <f>+G26+G27+G28+G29</f>
        <v>137125.82871676967</v>
      </c>
      <c r="H30" s="51">
        <f>+H26+H27+H28+H29</f>
        <v>6910</v>
      </c>
      <c r="I30" s="52">
        <f t="shared" si="14"/>
        <v>144035.82871676967</v>
      </c>
      <c r="J30" s="51">
        <f>+J26+J27+J28+J29</f>
        <v>137125.82871676967</v>
      </c>
      <c r="K30" s="51">
        <f>+K26+K27+K28+K29</f>
        <v>6910</v>
      </c>
      <c r="L30" s="52">
        <f t="shared" si="15"/>
        <v>144035.82871676967</v>
      </c>
      <c r="M30" s="51">
        <f>+M26+M27+M28+M29</f>
        <v>137125.82871676967</v>
      </c>
      <c r="N30" s="51">
        <f>+N26+N27+N28+N29</f>
        <v>6910</v>
      </c>
      <c r="O30" s="52">
        <f t="shared" si="16"/>
        <v>144035.82871676967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98535.758698694117</v>
      </c>
      <c r="E31" s="53">
        <v>0</v>
      </c>
      <c r="F31" s="48">
        <f t="shared" si="13"/>
        <v>98535.758698694117</v>
      </c>
      <c r="G31" s="147">
        <f>VLOOKUP($A$1,REM_ToolEnrico!$B$5:$J$38,4,FALSE)</f>
        <v>93763.534042377243</v>
      </c>
      <c r="H31" s="53">
        <v>0</v>
      </c>
      <c r="I31" s="48">
        <f t="shared" si="14"/>
        <v>93763.534042377243</v>
      </c>
      <c r="J31" s="147">
        <f>VLOOKUP($A$1,REM_ToolEnrico!$B$5:$J$38,6,FALSE)</f>
        <v>71916.295056348637</v>
      </c>
      <c r="K31" s="53">
        <v>0</v>
      </c>
      <c r="L31" s="48">
        <f t="shared" si="15"/>
        <v>71916.295056348637</v>
      </c>
      <c r="M31" s="147">
        <f>VLOOKUP($A$1,REM_ToolEnrico!$B$5:$J$38,8,FALSE)</f>
        <v>70113.795103019365</v>
      </c>
      <c r="N31" s="53">
        <v>0</v>
      </c>
      <c r="O31" s="48">
        <f t="shared" si="16"/>
        <v>70113.795103019365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79151.100000000006</v>
      </c>
      <c r="F32" s="48">
        <f t="shared" si="13"/>
        <v>79151.100000000006</v>
      </c>
      <c r="G32" s="54">
        <f>+G33+G34+G35+G36</f>
        <v>0</v>
      </c>
      <c r="H32" s="54">
        <f>+H33+H34+H35+H36</f>
        <v>79101</v>
      </c>
      <c r="I32" s="48">
        <f t="shared" si="14"/>
        <v>79101</v>
      </c>
      <c r="J32" s="54">
        <f>+J33+J34+J35+J36</f>
        <v>0</v>
      </c>
      <c r="K32" s="54">
        <f>+K33+K34+K35+K36</f>
        <v>79101</v>
      </c>
      <c r="L32" s="48">
        <f t="shared" si="15"/>
        <v>79101</v>
      </c>
      <c r="M32" s="54">
        <f>+M33+M34+M35+M36</f>
        <v>0</v>
      </c>
      <c r="N32" s="54">
        <f>+N33+N34+N35+N36</f>
        <v>79101</v>
      </c>
      <c r="O32" s="48">
        <f t="shared" si="16"/>
        <v>79101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79151.100000000006</v>
      </c>
      <c r="F34" s="48">
        <f>D34+E34</f>
        <v>79151.100000000006</v>
      </c>
      <c r="G34" s="47">
        <v>0</v>
      </c>
      <c r="H34" s="47">
        <v>79101</v>
      </c>
      <c r="I34" s="48">
        <f>G34+H34</f>
        <v>79101</v>
      </c>
      <c r="J34" s="47">
        <v>0</v>
      </c>
      <c r="K34" s="158">
        <v>79101</v>
      </c>
      <c r="L34" s="48">
        <f t="shared" si="15"/>
        <v>79101</v>
      </c>
      <c r="M34" s="47">
        <v>0</v>
      </c>
      <c r="N34" s="158">
        <v>79101</v>
      </c>
      <c r="O34" s="48">
        <f t="shared" si="16"/>
        <v>79101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37950.37318881863</v>
      </c>
      <c r="E37" s="47">
        <v>0</v>
      </c>
      <c r="F37" s="48">
        <f t="shared" si="13"/>
        <v>37950.37318881863</v>
      </c>
      <c r="G37" s="147">
        <f>VLOOKUP($A$1,REM_ToolEnrico!$B$5:$J$38,5,FALSE)</f>
        <v>32251.258659227708</v>
      </c>
      <c r="H37" s="47">
        <v>0</v>
      </c>
      <c r="I37" s="48">
        <f t="shared" si="17"/>
        <v>32251.258659227708</v>
      </c>
      <c r="J37" s="147">
        <f>VLOOKUP($A$1,REM_ToolEnrico!$B$5:$J$38,7,FALSE)</f>
        <v>28498.560988753612</v>
      </c>
      <c r="K37" s="47">
        <v>0</v>
      </c>
      <c r="L37" s="48">
        <f t="shared" si="15"/>
        <v>28498.560988753612</v>
      </c>
      <c r="M37" s="147">
        <f>VLOOKUP($A$1,REM_ToolEnrico!$B$5:$J$38,9,FALSE)</f>
        <v>27092.995529696796</v>
      </c>
      <c r="N37" s="47">
        <v>0</v>
      </c>
      <c r="O37" s="48">
        <f t="shared" si="16"/>
        <v>27092.995529696796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175.70249693963342</v>
      </c>
      <c r="E38" s="47">
        <v>0</v>
      </c>
      <c r="F38" s="48">
        <f t="shared" si="13"/>
        <v>175.70249693963342</v>
      </c>
      <c r="G38" s="47">
        <v>176.05390193351269</v>
      </c>
      <c r="H38" s="47">
        <v>0</v>
      </c>
      <c r="I38" s="48">
        <f t="shared" si="17"/>
        <v>176.05390193351269</v>
      </c>
      <c r="J38" s="47">
        <v>176.05390193351269</v>
      </c>
      <c r="K38" s="47">
        <v>0</v>
      </c>
      <c r="L38" s="48">
        <f t="shared" si="15"/>
        <v>176.05390193351269</v>
      </c>
      <c r="M38" s="47">
        <v>176.05390193351269</v>
      </c>
      <c r="N38" s="47">
        <v>0</v>
      </c>
      <c r="O38" s="48">
        <f t="shared" si="16"/>
        <v>176.05390193351269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136661.83438445238</v>
      </c>
      <c r="E40" s="51">
        <f>E38+E37+E32+E31+E39</f>
        <v>79151.100000000006</v>
      </c>
      <c r="F40" s="52">
        <f t="shared" si="13"/>
        <v>215812.93438445238</v>
      </c>
      <c r="G40" s="51">
        <f>G38+G37+G32+G31+G39</f>
        <v>126190.84660353846</v>
      </c>
      <c r="H40" s="51">
        <f>H38+H37+H32+H31+H39</f>
        <v>79101</v>
      </c>
      <c r="I40" s="52">
        <f t="shared" si="17"/>
        <v>205291.84660353846</v>
      </c>
      <c r="J40" s="51">
        <f>J38+J37+J32+J31+J39</f>
        <v>100590.90994703576</v>
      </c>
      <c r="K40" s="51">
        <f>K38+K37+K32+K31+K39</f>
        <v>79101</v>
      </c>
      <c r="L40" s="52">
        <f t="shared" si="15"/>
        <v>179691.90994703578</v>
      </c>
      <c r="M40" s="51">
        <f>M38+M37+M32+M31+M39</f>
        <v>97382.844534649674</v>
      </c>
      <c r="N40" s="51">
        <f>N38+N37+N32+N31+N39</f>
        <v>79101</v>
      </c>
      <c r="O40" s="52">
        <f t="shared" si="16"/>
        <v>176483.84453464969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6727.2242147457782</v>
      </c>
      <c r="E42" s="22">
        <v>0</v>
      </c>
      <c r="F42" s="36">
        <f t="shared" si="13"/>
        <v>6727.2242147457782</v>
      </c>
      <c r="G42" s="22">
        <v>12675.734372479181</v>
      </c>
      <c r="H42" s="22">
        <v>0</v>
      </c>
      <c r="I42" s="36">
        <f t="shared" si="17"/>
        <v>12675.734372479181</v>
      </c>
      <c r="J42" s="22">
        <v>12675.734372479181</v>
      </c>
      <c r="K42" s="22">
        <v>0</v>
      </c>
      <c r="L42" s="36">
        <f t="shared" si="15"/>
        <v>12675.734372479181</v>
      </c>
      <c r="M42" s="22">
        <v>12675.734372479181</v>
      </c>
      <c r="N42" s="22">
        <v>0</v>
      </c>
      <c r="O42" s="36">
        <f t="shared" si="16"/>
        <v>12675.734372479181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-26754.077407439716</v>
      </c>
      <c r="F44" s="36">
        <f t="shared" si="13"/>
        <v>-26754.077407439716</v>
      </c>
      <c r="G44" s="57">
        <v>-5933.7857831575366</v>
      </c>
      <c r="H44" s="57">
        <v>-26754.077407439716</v>
      </c>
      <c r="I44" s="36">
        <f t="shared" si="17"/>
        <v>-32687.863190597251</v>
      </c>
      <c r="J44" s="57">
        <v>0</v>
      </c>
      <c r="K44" s="57">
        <v>-15573.918366499998</v>
      </c>
      <c r="L44" s="36">
        <f t="shared" si="15"/>
        <v>-15573.918366499998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43333.996266822243</v>
      </c>
      <c r="F45" s="36">
        <f>E45</f>
        <v>43333.996266822243</v>
      </c>
      <c r="G45" s="34"/>
      <c r="H45" s="22">
        <f>G47*0.1</f>
        <v>43470.382635242764</v>
      </c>
      <c r="I45" s="36">
        <f>H45</f>
        <v>43470.382635242764</v>
      </c>
      <c r="J45" s="34"/>
      <c r="K45" s="22">
        <f>J47*0.1</f>
        <v>41503.767547908239</v>
      </c>
      <c r="L45" s="36">
        <f>K45</f>
        <v>41503.767547908239</v>
      </c>
      <c r="M45" s="34"/>
      <c r="N45" s="22">
        <f>M47*0.1</f>
        <v>41182.961006669633</v>
      </c>
      <c r="O45" s="36">
        <f>N45</f>
        <v>41182.961006669633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433339.96266822243</v>
      </c>
      <c r="E47" s="59">
        <f>E25+E30+E40+E41+E42+E43+E44+E45</f>
        <v>102641.01885938253</v>
      </c>
      <c r="F47" s="60">
        <f>D47+E47</f>
        <v>535980.98152760498</v>
      </c>
      <c r="G47" s="59">
        <f>G25+G30+G40+G41+G42+G43+G44+G46</f>
        <v>434703.8263524276</v>
      </c>
      <c r="H47" s="59">
        <f>H25+H30+H40+H41+H42+H43+H44+H45+H46</f>
        <v>102727.30522780304</v>
      </c>
      <c r="I47" s="60">
        <f>G47+H47</f>
        <v>537431.13158023066</v>
      </c>
      <c r="J47" s="59">
        <f>J25+J30+J40+J41+J42+J43+J44+J46</f>
        <v>415037.67547908239</v>
      </c>
      <c r="K47" s="59">
        <f>K25+K30+K40+K41+K42+K43+K44+K45+K46</f>
        <v>111940.84918140824</v>
      </c>
      <c r="L47" s="60">
        <f>J47+K47</f>
        <v>526978.52466049069</v>
      </c>
      <c r="M47" s="59">
        <f>M25+M30+M40+M41+M42+M43+M44+M46</f>
        <v>411829.6100666963</v>
      </c>
      <c r="N47" s="59">
        <f>N25+N30+N40+N41+N42+N43+N44+N45+N46</f>
        <v>127193.96100666963</v>
      </c>
      <c r="O47" s="60">
        <f>M47+N47</f>
        <v>539023.57107336598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1201547.7098714826</v>
      </c>
      <c r="E49" s="65">
        <v>177214.72431257472</v>
      </c>
      <c r="F49" s="65">
        <f>D49+E49</f>
        <v>1378762.4341840572</v>
      </c>
      <c r="G49" s="65">
        <f>G50</f>
        <v>1202958.0944128856</v>
      </c>
      <c r="H49" s="65">
        <v>177305.66276671502</v>
      </c>
      <c r="I49" s="65">
        <f t="shared" ref="I49" si="21">G49+H49</f>
        <v>1380263.7571796007</v>
      </c>
      <c r="J49" s="65">
        <f>J50</f>
        <v>1211026.1722968263</v>
      </c>
      <c r="K49" s="65">
        <v>190732.89107478858</v>
      </c>
      <c r="L49" s="65">
        <f t="shared" ref="L49" si="22">J49+K49</f>
        <v>1401759.0633716148</v>
      </c>
      <c r="M49" s="65">
        <f>M50</f>
        <v>1214045.9778844402</v>
      </c>
      <c r="N49" s="65">
        <v>206306.80944128858</v>
      </c>
      <c r="O49" s="65">
        <f t="shared" ref="O49" si="23">M49+N49</f>
        <v>1420352.7873257287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1201547.7098714826</v>
      </c>
      <c r="E50" s="59">
        <f t="shared" si="24"/>
        <v>177214.72431257472</v>
      </c>
      <c r="F50" s="59">
        <f t="shared" si="24"/>
        <v>1378762.4341840574</v>
      </c>
      <c r="G50" s="59">
        <f>+G23+G47</f>
        <v>1202958.0944128856</v>
      </c>
      <c r="H50" s="59">
        <f t="shared" si="24"/>
        <v>177305.66276671502</v>
      </c>
      <c r="I50" s="59">
        <f t="shared" si="24"/>
        <v>1380263.7571796007</v>
      </c>
      <c r="J50" s="59">
        <f t="shared" si="24"/>
        <v>1211026.1722968263</v>
      </c>
      <c r="K50" s="59">
        <f>+K23+K47</f>
        <v>191539.69886318262</v>
      </c>
      <c r="L50" s="59">
        <f t="shared" si="24"/>
        <v>1402565.8711600089</v>
      </c>
      <c r="M50" s="59">
        <f>+M23+M47</f>
        <v>1214045.9778844402</v>
      </c>
      <c r="N50" s="59">
        <f t="shared" si="24"/>
        <v>207415.59778844402</v>
      </c>
      <c r="O50" s="59">
        <f t="shared" si="24"/>
        <v>1421461.5756728845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-2803.1675402866967</v>
      </c>
      <c r="E51" s="68">
        <f>E44+E20</f>
        <v>-29001.146674573538</v>
      </c>
      <c r="F51" s="146"/>
      <c r="G51" s="68">
        <f>G44+G20</f>
        <v>-39895.885540443582</v>
      </c>
      <c r="H51" s="68">
        <f>H44+H20</f>
        <v>-29001.146674573538</v>
      </c>
      <c r="I51" s="146"/>
      <c r="J51" s="68">
        <f>J44+J20</f>
        <v>-6227.871000000001</v>
      </c>
      <c r="K51" s="68">
        <f>K44+K20</f>
        <v>-15573.918366499998</v>
      </c>
      <c r="L51" s="146"/>
      <c r="M51" s="68">
        <f>M44+M20</f>
        <v>0</v>
      </c>
      <c r="N51" s="68">
        <f>N44+N20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0.79520000000000002</v>
      </c>
      <c r="G53" s="72"/>
      <c r="H53" s="73"/>
      <c r="I53" s="74">
        <v>0.79520000000000002</v>
      </c>
      <c r="J53" s="72"/>
      <c r="K53" s="73"/>
      <c r="L53" s="74">
        <v>0.79520000000000002</v>
      </c>
      <c r="M53" s="72"/>
      <c r="N53" s="73"/>
      <c r="O53" s="74">
        <v>0.79520000000000002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5116.8519999999999</v>
      </c>
      <c r="G54" s="34"/>
      <c r="H54" s="76"/>
      <c r="I54" s="77">
        <v>5116.8519999999999</v>
      </c>
      <c r="J54" s="34"/>
      <c r="K54" s="76"/>
      <c r="L54" s="77">
        <v>5116.8519999999999</v>
      </c>
      <c r="M54" s="34"/>
      <c r="N54" s="76"/>
      <c r="O54" s="77">
        <v>5116.8519999999999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28.163228514593992</v>
      </c>
      <c r="G55" s="34"/>
      <c r="H55" s="76"/>
      <c r="I55" s="78">
        <v>25.793097036938693</v>
      </c>
      <c r="J55" s="34"/>
      <c r="K55" s="76"/>
      <c r="L55" s="78">
        <v>26.887832584068754</v>
      </c>
      <c r="M55" s="34"/>
      <c r="N55" s="76"/>
      <c r="O55" s="78">
        <v>26.76147335207509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28.448929779591282</v>
      </c>
      <c r="G56" s="81"/>
      <c r="H56" s="82"/>
      <c r="I56" s="78">
        <v>28.448929779591282</v>
      </c>
      <c r="J56" s="81"/>
      <c r="K56" s="82"/>
      <c r="L56" s="78">
        <v>28.448929779591282</v>
      </c>
      <c r="M56" s="81"/>
      <c r="N56" s="82"/>
      <c r="O56" s="78">
        <v>28.448929779591282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-2.5000000000000022E-2</v>
      </c>
      <c r="G59" s="87"/>
      <c r="H59" s="73"/>
      <c r="I59" s="86">
        <v>-2.5000000000000022E-2</v>
      </c>
      <c r="J59" s="72"/>
      <c r="K59" s="73"/>
      <c r="L59" s="88">
        <v>-2.5000000000000022E-2</v>
      </c>
      <c r="M59" s="72"/>
      <c r="N59" s="73"/>
      <c r="O59" s="88">
        <v>-2.5000000000000022E-2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-7.7725583391090175E-2</v>
      </c>
      <c r="G60" s="90"/>
      <c r="H60" s="76"/>
      <c r="I60" s="89">
        <v>-7.7725583391090175E-2</v>
      </c>
      <c r="J60" s="34"/>
      <c r="K60" s="91"/>
      <c r="L60" s="89">
        <v>-7.7725583391090175E-2</v>
      </c>
      <c r="M60" s="34"/>
      <c r="N60" s="76"/>
      <c r="O60" s="89">
        <v>-7.7725583391090175E-2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-0.1027255833910902</v>
      </c>
      <c r="G61" s="90"/>
      <c r="H61" s="76"/>
      <c r="I61" s="92">
        <v>-0.1027255833910902</v>
      </c>
      <c r="J61" s="34"/>
      <c r="K61" s="76"/>
      <c r="L61" s="93">
        <v>-0.1027255833910902</v>
      </c>
      <c r="M61" s="34"/>
      <c r="N61" s="76"/>
      <c r="O61" s="92">
        <v>-0.1027255833910902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0.89727441660890983</v>
      </c>
      <c r="G62" s="95"/>
      <c r="H62" s="82"/>
      <c r="I62" s="94">
        <v>0.89727441660890983</v>
      </c>
      <c r="J62" s="81"/>
      <c r="K62" s="82"/>
      <c r="L62" s="94">
        <v>0.89727441660890983</v>
      </c>
      <c r="M62" s="81"/>
      <c r="N62" s="82"/>
      <c r="O62" s="94">
        <v>0.89727441660890983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1.00000001E-3</v>
      </c>
      <c r="G66" s="34"/>
      <c r="H66" s="76"/>
      <c r="I66" s="104">
        <v>1.00000001E-3</v>
      </c>
      <c r="J66" s="34"/>
      <c r="K66" s="76"/>
      <c r="L66" s="104">
        <v>1.00000001E-3</v>
      </c>
      <c r="M66" s="34"/>
      <c r="N66" s="76"/>
      <c r="O66" s="104">
        <v>1.00000001E-3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6.5999999990000002E-2</v>
      </c>
      <c r="G70" s="34"/>
      <c r="H70" s="76"/>
      <c r="I70" s="105">
        <v>6.5999999990000002E-2</v>
      </c>
      <c r="J70" s="34"/>
      <c r="K70" s="76"/>
      <c r="L70" s="105">
        <v>6.5999999990000002E-2</v>
      </c>
      <c r="M70" s="34"/>
      <c r="N70" s="76"/>
      <c r="O70" s="105">
        <v>6.5999999990000002E-2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1.0659999999900001</v>
      </c>
      <c r="G71" s="34"/>
      <c r="H71" s="76"/>
      <c r="I71" s="106">
        <v>1.0659999999900001</v>
      </c>
      <c r="J71" s="34"/>
      <c r="K71" s="76"/>
      <c r="L71" s="106">
        <v>1.0659999999900001</v>
      </c>
      <c r="M71" s="34"/>
      <c r="N71" s="76"/>
      <c r="O71" s="106">
        <v>1.0659999999900001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1378762.4341840574</v>
      </c>
      <c r="G72" s="34"/>
      <c r="H72" s="76"/>
      <c r="I72" s="108">
        <f>I50</f>
        <v>1380263.7571796007</v>
      </c>
      <c r="J72" s="34"/>
      <c r="K72" s="76"/>
      <c r="L72" s="108">
        <f>L50</f>
        <v>1402565.8711600089</v>
      </c>
      <c r="M72" s="34"/>
      <c r="N72" s="76"/>
      <c r="O72" s="108">
        <f>O50</f>
        <v>1421461.5756728845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761996.75658427225</v>
      </c>
      <c r="G73" s="34"/>
      <c r="H73" s="76"/>
      <c r="I73" s="110">
        <f>F81</f>
        <v>842781.45265645243</v>
      </c>
      <c r="J73" s="34"/>
      <c r="K73" s="76"/>
      <c r="L73" s="110">
        <f>I81</f>
        <v>842832.62559936987</v>
      </c>
      <c r="M73" s="34"/>
      <c r="N73" s="76"/>
      <c r="O73" s="110">
        <f>L81</f>
        <v>875587.34649951826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557797.84501226596</v>
      </c>
      <c r="G74" s="34"/>
      <c r="H74" s="76"/>
      <c r="I74" s="110">
        <f>F82</f>
        <v>535980.98152760486</v>
      </c>
      <c r="J74" s="34"/>
      <c r="K74" s="76"/>
      <c r="L74" s="110">
        <f>I82</f>
        <v>537431.13158023078</v>
      </c>
      <c r="M74" s="34"/>
      <c r="N74" s="76"/>
      <c r="O74" s="110">
        <f>L82</f>
        <v>526978.52466049069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1319794.6015965382</v>
      </c>
      <c r="G75" s="34"/>
      <c r="H75" s="76"/>
      <c r="I75" s="111">
        <f>SUM(I73:I74)</f>
        <v>1378762.4341840572</v>
      </c>
      <c r="J75" s="34"/>
      <c r="K75" s="76"/>
      <c r="L75" s="111">
        <f>SUM(L73:L74)</f>
        <v>1380263.7571796007</v>
      </c>
      <c r="M75" s="34"/>
      <c r="N75" s="76"/>
      <c r="O75" s="111">
        <f>SUM(O73:O74)</f>
        <v>1402565.8711600089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1.0446795528002513</v>
      </c>
      <c r="G76" s="81"/>
      <c r="H76" s="82"/>
      <c r="I76" s="112">
        <f>I72/I75</f>
        <v>1.0010888917179064</v>
      </c>
      <c r="J76" s="81"/>
      <c r="K76" s="82"/>
      <c r="L76" s="112">
        <f>L72/L75</f>
        <v>1.0161578639331803</v>
      </c>
      <c r="M76" s="81"/>
      <c r="N76" s="82"/>
      <c r="O76" s="112">
        <f>O72/O75</f>
        <v>1.0134722403427994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1378762.4341840574</v>
      </c>
      <c r="G78" s="73"/>
      <c r="H78" s="73"/>
      <c r="I78" s="115">
        <f>IF(I72&lt;=I75*I71,I72,I75*I71)</f>
        <v>1380263.7571796007</v>
      </c>
      <c r="J78" s="73"/>
      <c r="K78" s="73"/>
      <c r="L78" s="115">
        <f>IF(L72&lt;=L75*L71,L72,L75*L71)</f>
        <v>1402565.8711600089</v>
      </c>
      <c r="M78" s="73"/>
      <c r="N78" s="73"/>
      <c r="O78" s="115">
        <f>IF(O72&lt;=O75*O71,O72,O75*O71)</f>
        <v>1421461.5756728845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768207.74720326019</v>
      </c>
      <c r="E81" s="120">
        <f>E23</f>
        <v>74573.705453192204</v>
      </c>
      <c r="F81" s="115">
        <f>D81+E81</f>
        <v>842781.45265645243</v>
      </c>
      <c r="G81" s="119">
        <f>G23-I79</f>
        <v>768254.26806045789</v>
      </c>
      <c r="H81" s="120">
        <f>H23</f>
        <v>74578.35753891198</v>
      </c>
      <c r="I81" s="115">
        <f>G81+H81</f>
        <v>842832.62559936987</v>
      </c>
      <c r="J81" s="119">
        <f>J23-L79</f>
        <v>795988.49681774387</v>
      </c>
      <c r="K81" s="120">
        <f>K23</f>
        <v>79598.849681774387</v>
      </c>
      <c r="L81" s="115">
        <f>J81+K81</f>
        <v>875587.34649951826</v>
      </c>
      <c r="M81" s="119">
        <f>M23-O79</f>
        <v>802216.36781774391</v>
      </c>
      <c r="N81" s="120">
        <f>N23</f>
        <v>80221.636781774403</v>
      </c>
      <c r="O81" s="115">
        <f>M81+N81</f>
        <v>882438.00459951838</v>
      </c>
    </row>
    <row r="82" spans="1:52" s="14" customFormat="1" ht="20" customHeight="1" thickBot="1">
      <c r="B82" s="118" t="s">
        <v>72</v>
      </c>
      <c r="D82" s="121">
        <f>D50-D81-F79</f>
        <v>433339.96266822238</v>
      </c>
      <c r="E82" s="122">
        <f>E50-E81</f>
        <v>102641.01885938252</v>
      </c>
      <c r="F82" s="123">
        <f>D82+E82</f>
        <v>535980.98152760486</v>
      </c>
      <c r="G82" s="121">
        <f>G49-G81-I79</f>
        <v>434703.82635242771</v>
      </c>
      <c r="H82" s="122">
        <f>H50-H81</f>
        <v>102727.30522780304</v>
      </c>
      <c r="I82" s="123">
        <f>G82+H82</f>
        <v>537431.13158023078</v>
      </c>
      <c r="J82" s="121">
        <f>J50-J81-L79</f>
        <v>415037.67547908239</v>
      </c>
      <c r="K82" s="122">
        <f>K50-K81</f>
        <v>111940.84918140824</v>
      </c>
      <c r="L82" s="123">
        <f>J82+K82</f>
        <v>526978.52466049069</v>
      </c>
      <c r="M82" s="121">
        <f>M49-M81-O79</f>
        <v>411829.6100666963</v>
      </c>
      <c r="N82" s="122">
        <f>N50-N81</f>
        <v>127193.96100666962</v>
      </c>
      <c r="O82" s="123">
        <f>M82+N82</f>
        <v>539023.57107336586</v>
      </c>
    </row>
    <row r="83" spans="1:52" s="124" customFormat="1" ht="17.25" customHeight="1" thickBot="1">
      <c r="B83" s="125" t="s">
        <v>73</v>
      </c>
      <c r="C83" s="14"/>
      <c r="D83" s="126">
        <f>SUM(D81:D82)</f>
        <v>1201547.7098714826</v>
      </c>
      <c r="E83" s="127">
        <f t="shared" ref="E83:O83" si="25">SUM(E81:E82)</f>
        <v>177214.72431257472</v>
      </c>
      <c r="F83" s="128">
        <f t="shared" si="25"/>
        <v>1378762.4341840572</v>
      </c>
      <c r="G83" s="126">
        <f t="shared" si="25"/>
        <v>1202958.0944128856</v>
      </c>
      <c r="H83" s="127">
        <f t="shared" si="25"/>
        <v>177305.66276671502</v>
      </c>
      <c r="I83" s="128">
        <f t="shared" si="25"/>
        <v>1380263.7571796007</v>
      </c>
      <c r="J83" s="126">
        <f t="shared" si="25"/>
        <v>1211026.1722968263</v>
      </c>
      <c r="K83" s="127">
        <f t="shared" si="25"/>
        <v>191539.69886318262</v>
      </c>
      <c r="L83" s="128">
        <f t="shared" si="25"/>
        <v>1402565.8711600089</v>
      </c>
      <c r="M83" s="126">
        <f t="shared" si="25"/>
        <v>1214045.9778844402</v>
      </c>
      <c r="N83" s="127">
        <f t="shared" si="25"/>
        <v>207415.59778844402</v>
      </c>
      <c r="O83" s="128">
        <f t="shared" si="25"/>
        <v>1421461.5756728842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842781.45265645243</v>
      </c>
      <c r="G88" s="72"/>
      <c r="H88" s="73"/>
      <c r="I88" s="136">
        <f>I81-I85</f>
        <v>842832.62559936987</v>
      </c>
      <c r="J88" s="72"/>
      <c r="K88" s="73"/>
      <c r="L88" s="136">
        <f>L81-L85</f>
        <v>875587.34649951826</v>
      </c>
      <c r="M88" s="72"/>
      <c r="N88" s="73"/>
      <c r="O88" s="136">
        <f>O81-O85</f>
        <v>882438.00459951838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535980.98152760486</v>
      </c>
      <c r="G89" s="34"/>
      <c r="H89" s="76"/>
      <c r="I89" s="138">
        <f>I82-I86</f>
        <v>537431.13158023078</v>
      </c>
      <c r="J89" s="34"/>
      <c r="K89" s="76"/>
      <c r="L89" s="138">
        <f>L82-L86</f>
        <v>526978.52466049069</v>
      </c>
      <c r="M89" s="34"/>
      <c r="N89" s="76"/>
      <c r="O89" s="138">
        <f>O82-O86</f>
        <v>539023.57107336586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1378762.4341840572</v>
      </c>
      <c r="G90" s="81"/>
      <c r="H90" s="82"/>
      <c r="I90" s="139">
        <f>+I88+I89</f>
        <v>1380263.7571796007</v>
      </c>
      <c r="J90" s="81"/>
      <c r="K90" s="82"/>
      <c r="L90" s="139">
        <f>+L88+L89</f>
        <v>1402565.8711600089</v>
      </c>
      <c r="M90" s="81"/>
      <c r="N90" s="82"/>
      <c r="O90" s="139">
        <f>+O88+O89</f>
        <v>1421461.5756728842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-562.29831648164691</v>
      </c>
      <c r="E92" s="143">
        <v>0</v>
      </c>
      <c r="F92" s="144">
        <f>D92+E92</f>
        <v>-562.29831648164691</v>
      </c>
      <c r="G92" s="142">
        <v>-26656.240306348358</v>
      </c>
      <c r="H92" s="143">
        <v>0</v>
      </c>
      <c r="I92" s="144">
        <f>G92+H92</f>
        <v>-26656.240306348358</v>
      </c>
      <c r="J92" s="142">
        <v>-26656.240306348358</v>
      </c>
      <c r="K92" s="143">
        <v>0</v>
      </c>
      <c r="L92" s="144">
        <f>J92+K92</f>
        <v>-26656.240306348358</v>
      </c>
      <c r="M92" s="142">
        <v>-26656.240306348358</v>
      </c>
      <c r="N92" s="143">
        <v>0</v>
      </c>
      <c r="O92" s="144">
        <f>M92+N92</f>
        <v>-26656.240306348358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1257535.3874314479</v>
      </c>
      <c r="E96" s="166">
        <f>E6+E7+E8+E9+E11+E25+E30+E40+E42+E21+E45</f>
        <v>206215.87098714829</v>
      </c>
      <c r="F96" s="166">
        <f t="shared" ref="F96" si="26">F6+F7+F8+F9+F11+F25+F30+F40+F42</f>
        <v>1343596.487431448</v>
      </c>
      <c r="G96" s="166">
        <f t="shared" ref="G96" si="27">G6+G7+G8+G9+G11+G25+G30+G40+G42+G21+G45</f>
        <v>1295985.3585943666</v>
      </c>
      <c r="H96" s="166">
        <f t="shared" ref="H96" si="28">H6+H7+H8+H9+H11+H25+H30+H40+H42</f>
        <v>86011</v>
      </c>
      <c r="I96" s="166">
        <f t="shared" ref="I96" si="29">I6+I7+I8+I9+I11+I25+I30+I40+I42+I21+I45</f>
        <v>1502292.168035655</v>
      </c>
      <c r="J96" s="166">
        <f t="shared" ref="J96" si="30">J6+J7+J8+J9+J11+J25+J30+J40+J42</f>
        <v>1270385.421937864</v>
      </c>
      <c r="K96" s="166">
        <f t="shared" ref="K96" si="31">K6+K7+K8+K9+K11+K25+K30+K40+K42+K21+K45</f>
        <v>207113.61722968263</v>
      </c>
      <c r="L96" s="166">
        <f t="shared" ref="L96" si="32">L6+L7+L8+L9+L11+L25+L30+L40+L42</f>
        <v>1356396.421937864</v>
      </c>
      <c r="M96" s="166">
        <f t="shared" ref="M96" si="33">M6+M7+M8+M9+M11+M25+M30+M40+M42+M21+M45</f>
        <v>1267177.356525478</v>
      </c>
      <c r="N96" s="166">
        <f t="shared" ref="N96" si="34">N6+N7+N8+N9+N11+N25+N30+N40+N42</f>
        <v>86011</v>
      </c>
      <c r="O96" s="166">
        <f t="shared" ref="O96" si="35">O6+O7+O8+O9+O11+O25+O30+O40+O42+O21+O45</f>
        <v>1474592.954313922</v>
      </c>
    </row>
    <row r="97" spans="4:15" s="14" customFormat="1">
      <c r="D97" s="166">
        <f>D96-D15-D19</f>
        <v>1204350.877411769</v>
      </c>
      <c r="E97" s="166">
        <f>E96-E15-E19</f>
        <v>206215.87098714829</v>
      </c>
      <c r="F97" s="166">
        <f t="shared" ref="F97:O97" si="36">F96-F15-F19</f>
        <v>1290411.9774117691</v>
      </c>
      <c r="G97" s="166">
        <f t="shared" si="36"/>
        <v>1242853.9799533288</v>
      </c>
      <c r="H97" s="166">
        <f t="shared" si="36"/>
        <v>86011</v>
      </c>
      <c r="I97" s="166">
        <f t="shared" si="36"/>
        <v>1449160.7893946173</v>
      </c>
      <c r="J97" s="166">
        <f t="shared" si="36"/>
        <v>1217254.0432968263</v>
      </c>
      <c r="K97" s="166">
        <f t="shared" si="36"/>
        <v>207113.61722968263</v>
      </c>
      <c r="L97" s="166">
        <f t="shared" si="36"/>
        <v>1303265.0432968263</v>
      </c>
      <c r="M97" s="166">
        <f t="shared" si="36"/>
        <v>1214045.9778844402</v>
      </c>
      <c r="N97" s="166">
        <f t="shared" si="36"/>
        <v>86011</v>
      </c>
      <c r="O97" s="166">
        <f t="shared" si="36"/>
        <v>1421461.5756728842</v>
      </c>
    </row>
    <row r="98" spans="4:15" s="14" customFormat="1">
      <c r="D98" s="166">
        <f>D20+D44</f>
        <v>-2803.1675402866967</v>
      </c>
      <c r="E98" s="166">
        <f>E20+E44</f>
        <v>-29001.146674573538</v>
      </c>
      <c r="F98" s="166">
        <f t="shared" ref="F98:O98" si="37">F20+F44</f>
        <v>-31804.314214860235</v>
      </c>
      <c r="G98" s="166">
        <f t="shared" si="37"/>
        <v>-39895.885540443582</v>
      </c>
      <c r="H98" s="166">
        <f t="shared" si="37"/>
        <v>-29001.146674573538</v>
      </c>
      <c r="I98" s="166">
        <f t="shared" si="37"/>
        <v>-68897.032215017127</v>
      </c>
      <c r="J98" s="166">
        <f t="shared" si="37"/>
        <v>-6227.871000000001</v>
      </c>
      <c r="K98" s="166">
        <f t="shared" si="37"/>
        <v>-15573.918366499998</v>
      </c>
      <c r="L98" s="166">
        <f t="shared" si="37"/>
        <v>-21801.789366500001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10" priority="7" operator="containsText" text="ERRORE">
      <formula>NOT(ISERROR(SEARCH("ERRORE",F81)))</formula>
    </cfRule>
  </conditionalFormatting>
  <conditionalFormatting sqref="I83">
    <cfRule type="containsText" dxfId="109" priority="6" operator="containsText" text="ERRORE">
      <formula>NOT(ISERROR(SEARCH("ERRORE",I83)))</formula>
    </cfRule>
  </conditionalFormatting>
  <conditionalFormatting sqref="I81:I82">
    <cfRule type="containsText" dxfId="108" priority="5" operator="containsText" text="ERRORE">
      <formula>NOT(ISERROR(SEARCH("ERRORE",I81)))</formula>
    </cfRule>
  </conditionalFormatting>
  <conditionalFormatting sqref="L83">
    <cfRule type="containsText" dxfId="107" priority="4" operator="containsText" text="ERRORE">
      <formula>NOT(ISERROR(SEARCH("ERRORE",L83)))</formula>
    </cfRule>
  </conditionalFormatting>
  <conditionalFormatting sqref="L81:L82">
    <cfRule type="containsText" dxfId="106" priority="3" operator="containsText" text="ERRORE">
      <formula>NOT(ISERROR(SEARCH("ERRORE",L81)))</formula>
    </cfRule>
  </conditionalFormatting>
  <conditionalFormatting sqref="O83">
    <cfRule type="containsText" dxfId="105" priority="2" operator="containsText" text="ERRORE">
      <formula>NOT(ISERROR(SEARCH("ERRORE",O83)))</formula>
    </cfRule>
  </conditionalFormatting>
  <conditionalFormatting sqref="O81:O82">
    <cfRule type="containsText" dxfId="104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C16" zoomScale="80" zoomScaleNormal="80" zoomScalePageLayoutView="80" workbookViewId="0">
      <selection activeCell="C83" sqref="C83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103</v>
      </c>
      <c r="B1" s="2" t="str">
        <f>"       PEF 2022 - 2025"&amp;" - "&amp;A1</f>
        <v xml:space="preserve">       PEF 2022 - 2025 - Noale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151</v>
      </c>
      <c r="E4" s="188"/>
      <c r="F4" s="189"/>
      <c r="G4" s="187" t="str">
        <f>D4</f>
        <v>Ambito tariffario: NOALE</v>
      </c>
      <c r="H4" s="188"/>
      <c r="I4" s="189"/>
      <c r="J4" s="187" t="str">
        <f>D4</f>
        <v>Ambito tariffario: NOALE</v>
      </c>
      <c r="K4" s="188"/>
      <c r="L4" s="189"/>
      <c r="M4" s="187" t="str">
        <f>D4</f>
        <v>Ambito tariffario: NOALE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204646.93913231156</v>
      </c>
      <c r="E6" s="22">
        <v>0</v>
      </c>
      <c r="F6" s="23">
        <f>D6+E6</f>
        <v>204646.93913231156</v>
      </c>
      <c r="G6" s="22">
        <v>211697.80398021103</v>
      </c>
      <c r="H6" s="22">
        <v>0</v>
      </c>
      <c r="I6" s="23">
        <f>G6+H6</f>
        <v>211697.80398021103</v>
      </c>
      <c r="J6" s="22">
        <v>211697.80398021103</v>
      </c>
      <c r="K6" s="22">
        <v>0</v>
      </c>
      <c r="L6" s="23">
        <f>J6+K6</f>
        <v>211697.80398021103</v>
      </c>
      <c r="M6" s="22">
        <v>211697.80398021103</v>
      </c>
      <c r="N6" s="22">
        <v>0</v>
      </c>
      <c r="O6" s="23">
        <f>M6+N6</f>
        <v>211697.80398021103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273590.2710918347</v>
      </c>
      <c r="E7" s="22">
        <v>0</v>
      </c>
      <c r="F7" s="23">
        <f t="shared" ref="F7:F20" si="0">D7+E7</f>
        <v>273590.2710918347</v>
      </c>
      <c r="G7" s="22">
        <v>286389.23227451975</v>
      </c>
      <c r="H7" s="22">
        <v>0</v>
      </c>
      <c r="I7" s="23">
        <f t="shared" ref="I7:I13" si="1">G7+H7</f>
        <v>286389.23227451975</v>
      </c>
      <c r="J7" s="22">
        <v>286389.23227451975</v>
      </c>
      <c r="K7" s="22">
        <v>0</v>
      </c>
      <c r="L7" s="23">
        <f t="shared" ref="L7:L12" si="2">J7+K7</f>
        <v>286389.23227451975</v>
      </c>
      <c r="M7" s="22">
        <v>286389.23227451975</v>
      </c>
      <c r="N7" s="22">
        <v>0</v>
      </c>
      <c r="O7" s="23">
        <f t="shared" ref="O7:O13" si="3">M7+N7</f>
        <v>286389.23227451975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379040.0566954636</v>
      </c>
      <c r="E8" s="22">
        <v>0</v>
      </c>
      <c r="F8" s="23">
        <f t="shared" si="0"/>
        <v>379040.0566954636</v>
      </c>
      <c r="G8" s="22">
        <v>396781.41197582666</v>
      </c>
      <c r="H8" s="22">
        <v>0</v>
      </c>
      <c r="I8" s="23">
        <f t="shared" si="1"/>
        <v>396781.41197582666</v>
      </c>
      <c r="J8" s="22">
        <v>396781.41197582666</v>
      </c>
      <c r="K8" s="22">
        <v>0</v>
      </c>
      <c r="L8" s="23">
        <f t="shared" si="2"/>
        <v>396781.41197582666</v>
      </c>
      <c r="M8" s="22">
        <v>396781.41197582666</v>
      </c>
      <c r="N8" s="22">
        <v>0</v>
      </c>
      <c r="O8" s="23">
        <f t="shared" si="3"/>
        <v>396781.41197582666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464037.25879032153</v>
      </c>
      <c r="E9" s="22">
        <v>0</v>
      </c>
      <c r="F9" s="23">
        <f t="shared" si="0"/>
        <v>464037.25879032153</v>
      </c>
      <c r="G9" s="22">
        <v>477143.43399243261</v>
      </c>
      <c r="H9" s="22">
        <v>0</v>
      </c>
      <c r="I9" s="23">
        <f t="shared" si="1"/>
        <v>477143.43399243261</v>
      </c>
      <c r="J9" s="22">
        <v>477143.43399243261</v>
      </c>
      <c r="K9" s="22">
        <v>0</v>
      </c>
      <c r="L9" s="23">
        <f t="shared" si="2"/>
        <v>477143.43399243261</v>
      </c>
      <c r="M9" s="22">
        <v>477143.43399243261</v>
      </c>
      <c r="N9" s="22">
        <v>0</v>
      </c>
      <c r="O9" s="23">
        <f t="shared" si="3"/>
        <v>477143.43399243261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6672.7993645987162</v>
      </c>
      <c r="E11" s="22">
        <v>0</v>
      </c>
      <c r="F11" s="23">
        <f t="shared" si="0"/>
        <v>6672.7993645987162</v>
      </c>
      <c r="G11" s="22">
        <v>6672.7993645987162</v>
      </c>
      <c r="H11" s="22">
        <v>0</v>
      </c>
      <c r="I11" s="23">
        <f t="shared" si="1"/>
        <v>6672.7993645987162</v>
      </c>
      <c r="J11" s="22">
        <v>6672.7993645987162</v>
      </c>
      <c r="K11" s="22">
        <v>0</v>
      </c>
      <c r="L11" s="23">
        <f t="shared" si="2"/>
        <v>6672.7993645987162</v>
      </c>
      <c r="M11" s="22">
        <v>6672.7993645987162</v>
      </c>
      <c r="N11" s="22">
        <v>0</v>
      </c>
      <c r="O11" s="23">
        <f t="shared" si="3"/>
        <v>6672.7993645987162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128375.84788658758</v>
      </c>
      <c r="E13" s="22">
        <v>0</v>
      </c>
      <c r="F13" s="23">
        <f t="shared" si="0"/>
        <v>128375.84788658758</v>
      </c>
      <c r="G13" s="22">
        <v>128247.60028630131</v>
      </c>
      <c r="H13" s="22">
        <v>0</v>
      </c>
      <c r="I13" s="23">
        <f t="shared" si="1"/>
        <v>128247.60028630131</v>
      </c>
      <c r="J13" s="22">
        <v>128247.60028630131</v>
      </c>
      <c r="K13" s="22">
        <v>0</v>
      </c>
      <c r="L13" s="23">
        <f>J13+K13</f>
        <v>128247.60028630131</v>
      </c>
      <c r="M13" s="22">
        <v>128247.60028630131</v>
      </c>
      <c r="N13" s="22">
        <v>0</v>
      </c>
      <c r="O13" s="23">
        <f t="shared" si="3"/>
        <v>128247.60028630131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77025.508731952548</v>
      </c>
      <c r="E15" s="22">
        <v>0</v>
      </c>
      <c r="F15" s="23">
        <f t="shared" si="0"/>
        <v>77025.508731952548</v>
      </c>
      <c r="G15" s="22">
        <v>76948.560171780788</v>
      </c>
      <c r="H15" s="22">
        <v>0</v>
      </c>
      <c r="I15" s="23">
        <f t="shared" ref="I15:I16" si="4">G15+H15</f>
        <v>76948.560171780788</v>
      </c>
      <c r="J15" s="22">
        <v>76948.560171780788</v>
      </c>
      <c r="K15" s="22">
        <v>0</v>
      </c>
      <c r="L15" s="23">
        <f t="shared" ref="L15:L16" si="5">J15+K15</f>
        <v>76948.560171780788</v>
      </c>
      <c r="M15" s="22">
        <v>76948.560171780788</v>
      </c>
      <c r="N15" s="22">
        <v>0</v>
      </c>
      <c r="O15" s="23">
        <f t="shared" ref="O15:O16" si="6">M15+N15</f>
        <v>76948.560171780788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4173.9024223692795</v>
      </c>
      <c r="E16" s="22">
        <v>0</v>
      </c>
      <c r="F16" s="23">
        <f t="shared" si="0"/>
        <v>4173.9024223692795</v>
      </c>
      <c r="G16" s="22">
        <v>4169.7326896796003</v>
      </c>
      <c r="H16" s="22">
        <v>0</v>
      </c>
      <c r="I16" s="23">
        <f t="shared" si="4"/>
        <v>4169.7326896796003</v>
      </c>
      <c r="J16" s="22">
        <v>4169.7326896796003</v>
      </c>
      <c r="K16" s="22">
        <v>0</v>
      </c>
      <c r="L16" s="23">
        <f t="shared" si="5"/>
        <v>4169.7326896796003</v>
      </c>
      <c r="M16" s="22">
        <v>4169.7326896796003</v>
      </c>
      <c r="N16" s="22">
        <v>0</v>
      </c>
      <c r="O16" s="23">
        <f t="shared" si="6"/>
        <v>4169.7326896796003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2754.7755987637247</v>
      </c>
      <c r="E19" s="22">
        <v>0</v>
      </c>
      <c r="F19" s="23">
        <f t="shared" si="0"/>
        <v>2754.7755987637247</v>
      </c>
      <c r="G19" s="22">
        <v>2752.0235751885361</v>
      </c>
      <c r="H19" s="22">
        <v>0</v>
      </c>
      <c r="I19" s="23">
        <f t="shared" ref="I19:I20" si="7">G19+H19</f>
        <v>2752.0235751885361</v>
      </c>
      <c r="J19" s="22">
        <v>2752.0235751885361</v>
      </c>
      <c r="K19" s="22">
        <v>0</v>
      </c>
      <c r="L19" s="23">
        <f t="shared" ref="L19:L20" si="8">J19+K19</f>
        <v>2752.0235751885361</v>
      </c>
      <c r="M19" s="32">
        <v>2752.0235751885361</v>
      </c>
      <c r="N19" s="33">
        <v>0</v>
      </c>
      <c r="O19" s="23">
        <f t="shared" ref="O19:O20" si="9">M19+N19</f>
        <v>2752.0235751885361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21060.182577843912</v>
      </c>
      <c r="E20" s="170">
        <v>33609.252254867657</v>
      </c>
      <c r="F20" s="23">
        <f t="shared" si="0"/>
        <v>54669.434832711573</v>
      </c>
      <c r="G20" s="22">
        <v>0</v>
      </c>
      <c r="H20" s="170">
        <v>28609.252254867657</v>
      </c>
      <c r="I20" s="23">
        <f t="shared" si="7"/>
        <v>28609.252254867657</v>
      </c>
      <c r="J20" s="22">
        <v>26799.501249999998</v>
      </c>
      <c r="K20" s="170">
        <v>-20000</v>
      </c>
      <c r="L20" s="23">
        <f t="shared" si="8"/>
        <v>6799.5012499999975</v>
      </c>
      <c r="M20" s="22">
        <v>20000</v>
      </c>
      <c r="N20" s="170">
        <v>-15000</v>
      </c>
      <c r="O20" s="23">
        <f t="shared" si="9"/>
        <v>5000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126926.72233216577</v>
      </c>
      <c r="F21" s="23">
        <f>E21</f>
        <v>126926.72233216577</v>
      </c>
      <c r="G21" s="34"/>
      <c r="H21" s="22">
        <f>G23*0.1</f>
        <v>129898.40978406194</v>
      </c>
      <c r="I21" s="23">
        <f>H21</f>
        <v>129898.40978406194</v>
      </c>
      <c r="J21" s="34"/>
      <c r="K21" s="22">
        <f>J23*0.1</f>
        <v>132578.35990906192</v>
      </c>
      <c r="L21" s="23">
        <f>K21</f>
        <v>132578.35990906192</v>
      </c>
      <c r="M21" s="34"/>
      <c r="N21" s="22">
        <f>M23*0.1</f>
        <v>131898.40978406192</v>
      </c>
      <c r="O21" s="23">
        <f>N21</f>
        <v>131898.40978406192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1269267.2233216576</v>
      </c>
      <c r="E23" s="38">
        <f>E6+E7+E8+E9+E10+E11+E12-E15-E19+E20+E21</f>
        <v>160535.97458703342</v>
      </c>
      <c r="F23" s="38">
        <f>D23+E23</f>
        <v>1429803.1979086911</v>
      </c>
      <c r="G23" s="38">
        <f>G6+G7+G8+G9+G10+G11+G12-G15-G19+G20+G22</f>
        <v>1298984.0978406193</v>
      </c>
      <c r="H23" s="38">
        <f>H6+H7+H8+H9+H10+H11+H12-H15-H19+H20+H21+H22</f>
        <v>158507.66203892959</v>
      </c>
      <c r="I23" s="38">
        <f>G23+H23</f>
        <v>1457491.7598795488</v>
      </c>
      <c r="J23" s="38">
        <f>J6+J7+J8+J9+J10+J11+J12-J15-J19+J20+J22</f>
        <v>1325783.5990906192</v>
      </c>
      <c r="K23" s="38">
        <f>K6+K7+K8+K9+K10+K11+K12-K15-K19+K20+K21+K22</f>
        <v>112578.35990906192</v>
      </c>
      <c r="L23" s="38">
        <f>J23+K23</f>
        <v>1438361.9589996813</v>
      </c>
      <c r="M23" s="38">
        <f>M6+M7+M8+M9+M10+M11+M12-M15-M19+M20+M22</f>
        <v>1318984.0978406193</v>
      </c>
      <c r="N23" s="38">
        <f>N6+N7+N8+N9+N10+N11+N12-N15-N19+N20+N21+N22</f>
        <v>116898.40978406192</v>
      </c>
      <c r="O23" s="38">
        <f>M23+N23</f>
        <v>1435882.5076246811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242719.21163086593</v>
      </c>
      <c r="E25" s="44">
        <v>0</v>
      </c>
      <c r="F25" s="45">
        <f t="shared" ref="F25:F44" si="13">D25+E25</f>
        <v>242719.21163086593</v>
      </c>
      <c r="G25" s="44">
        <v>253703.95560215379</v>
      </c>
      <c r="H25" s="44">
        <v>0</v>
      </c>
      <c r="I25" s="45">
        <f t="shared" ref="I25:I33" si="14">G25+H25</f>
        <v>253703.95560215379</v>
      </c>
      <c r="J25" s="44">
        <v>253703.95560215379</v>
      </c>
      <c r="K25" s="44">
        <v>0</v>
      </c>
      <c r="L25" s="45">
        <f t="shared" ref="L25:L44" si="15">J25+K25</f>
        <v>253703.95560215379</v>
      </c>
      <c r="M25" s="44">
        <v>253703.95560215379</v>
      </c>
      <c r="N25" s="44">
        <v>0</v>
      </c>
      <c r="O25" s="45">
        <f t="shared" ref="O25:O43" si="16">M25+N25</f>
        <v>253703.95560215379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67629.934861717338</v>
      </c>
      <c r="E26" s="22">
        <v>0</v>
      </c>
      <c r="F26" s="36">
        <f t="shared" si="13"/>
        <v>67629.934861717338</v>
      </c>
      <c r="G26" s="22">
        <v>69611.100216704712</v>
      </c>
      <c r="H26" s="22">
        <v>0</v>
      </c>
      <c r="I26" s="36">
        <f t="shared" si="14"/>
        <v>69611.100216704712</v>
      </c>
      <c r="J26" s="22">
        <v>69611.100216704712</v>
      </c>
      <c r="K26" s="22">
        <v>0</v>
      </c>
      <c r="L26" s="36">
        <f t="shared" si="15"/>
        <v>69611.100216704712</v>
      </c>
      <c r="M26" s="22">
        <v>69611.100216704712</v>
      </c>
      <c r="N26" s="22">
        <v>0</v>
      </c>
      <c r="O26" s="36">
        <f t="shared" si="16"/>
        <v>69611.100216704712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178447.37677967444</v>
      </c>
      <c r="E27" s="47">
        <v>23796.696713599995</v>
      </c>
      <c r="F27" s="48">
        <f t="shared" si="13"/>
        <v>202244.07349327442</v>
      </c>
      <c r="G27" s="47">
        <v>185318.74037825371</v>
      </c>
      <c r="H27" s="47">
        <v>23854.614000000001</v>
      </c>
      <c r="I27" s="48">
        <f t="shared" si="14"/>
        <v>209173.35437825372</v>
      </c>
      <c r="J27" s="47">
        <v>185318.74037825371</v>
      </c>
      <c r="K27" s="47">
        <v>23854.614000000001</v>
      </c>
      <c r="L27" s="48">
        <f t="shared" si="15"/>
        <v>209173.35437825372</v>
      </c>
      <c r="M27" s="47">
        <v>185318.74037825371</v>
      </c>
      <c r="N27" s="47">
        <v>23854.614000000001</v>
      </c>
      <c r="O27" s="48">
        <f t="shared" si="16"/>
        <v>209173.35437825372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71117.160809803085</v>
      </c>
      <c r="E29" s="47">
        <v>28675</v>
      </c>
      <c r="F29" s="48">
        <f t="shared" si="13"/>
        <v>99792.160809803085</v>
      </c>
      <c r="G29" s="47">
        <v>71628.077752574638</v>
      </c>
      <c r="H29" s="47">
        <v>28675</v>
      </c>
      <c r="I29" s="48">
        <f t="shared" si="14"/>
        <v>100303.07775257464</v>
      </c>
      <c r="J29" s="47">
        <v>71628.077752574638</v>
      </c>
      <c r="K29" s="47">
        <v>28675</v>
      </c>
      <c r="L29" s="48">
        <f t="shared" si="15"/>
        <v>100303.07775257464</v>
      </c>
      <c r="M29" s="47">
        <v>71628.077752574638</v>
      </c>
      <c r="N29" s="47">
        <v>28675</v>
      </c>
      <c r="O29" s="48">
        <f t="shared" si="16"/>
        <v>100303.07775257464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317194.47245119489</v>
      </c>
      <c r="E30" s="51">
        <f>+E26+E27+E28+E29</f>
        <v>52471.696713599995</v>
      </c>
      <c r="F30" s="52">
        <f t="shared" si="13"/>
        <v>369666.1691647949</v>
      </c>
      <c r="G30" s="51">
        <f>+G26+G27+G28+G29</f>
        <v>326557.91834753309</v>
      </c>
      <c r="H30" s="51">
        <f>+H26+H27+H28+H29</f>
        <v>52529.614000000001</v>
      </c>
      <c r="I30" s="52">
        <f t="shared" si="14"/>
        <v>379087.5323475331</v>
      </c>
      <c r="J30" s="51">
        <f>+J26+J27+J28+J29</f>
        <v>326557.91834753309</v>
      </c>
      <c r="K30" s="51">
        <f>+K26+K27+K28+K29</f>
        <v>52529.614000000001</v>
      </c>
      <c r="L30" s="52">
        <f t="shared" si="15"/>
        <v>379087.5323475331</v>
      </c>
      <c r="M30" s="51">
        <f>+M26+M27+M28+M29</f>
        <v>326557.91834753309</v>
      </c>
      <c r="N30" s="51">
        <f>+N26+N27+N28+N29</f>
        <v>52529.614000000001</v>
      </c>
      <c r="O30" s="52">
        <f t="shared" si="16"/>
        <v>379087.5323475331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133507.56657862815</v>
      </c>
      <c r="E31" s="53">
        <v>0</v>
      </c>
      <c r="F31" s="48">
        <f t="shared" si="13"/>
        <v>133507.56657862815</v>
      </c>
      <c r="G31" s="147">
        <f>VLOOKUP($A$1,REM_ToolEnrico!$B$5:$J$38,4,FALSE)</f>
        <v>110966.78752328076</v>
      </c>
      <c r="H31" s="53">
        <v>0</v>
      </c>
      <c r="I31" s="48">
        <f t="shared" si="14"/>
        <v>110966.78752328076</v>
      </c>
      <c r="J31" s="147">
        <f>VLOOKUP($A$1,REM_ToolEnrico!$B$5:$J$38,6,FALSE)</f>
        <v>118075.00099963487</v>
      </c>
      <c r="K31" s="53">
        <v>0</v>
      </c>
      <c r="L31" s="48">
        <f t="shared" si="15"/>
        <v>118075.00099963487</v>
      </c>
      <c r="M31" s="147">
        <f>VLOOKUP($A$1,REM_ToolEnrico!$B$5:$J$38,8,FALSE)</f>
        <v>116826.5695198894</v>
      </c>
      <c r="N31" s="53">
        <v>0</v>
      </c>
      <c r="O31" s="48">
        <f t="shared" si="16"/>
        <v>116826.5695198894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50000</v>
      </c>
      <c r="F32" s="48">
        <f t="shared" si="13"/>
        <v>50000</v>
      </c>
      <c r="G32" s="54">
        <f>+G33+G34+G35+G36</f>
        <v>0</v>
      </c>
      <c r="H32" s="54">
        <f>+H33+H34+H35+H36</f>
        <v>75000</v>
      </c>
      <c r="I32" s="48">
        <f t="shared" si="14"/>
        <v>75000</v>
      </c>
      <c r="J32" s="54">
        <f>+J33+J34+J35+J36</f>
        <v>0</v>
      </c>
      <c r="K32" s="54">
        <f>+K33+K34+K35+K36</f>
        <v>75000</v>
      </c>
      <c r="L32" s="48">
        <f t="shared" si="15"/>
        <v>75000</v>
      </c>
      <c r="M32" s="54">
        <f>+M33+M34+M35+M36</f>
        <v>0</v>
      </c>
      <c r="N32" s="54">
        <f>+N33+N34+N35+N36</f>
        <v>75000</v>
      </c>
      <c r="O32" s="48">
        <f t="shared" si="16"/>
        <v>75000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50000</v>
      </c>
      <c r="F34" s="48">
        <f>D34+E34</f>
        <v>50000</v>
      </c>
      <c r="G34" s="47">
        <v>0</v>
      </c>
      <c r="H34" s="47">
        <v>75000</v>
      </c>
      <c r="I34" s="48">
        <f>G34+H34</f>
        <v>75000</v>
      </c>
      <c r="J34" s="47">
        <v>0</v>
      </c>
      <c r="K34" s="158">
        <v>75000</v>
      </c>
      <c r="L34" s="48">
        <f t="shared" si="15"/>
        <v>75000</v>
      </c>
      <c r="M34" s="47">
        <v>0</v>
      </c>
      <c r="N34" s="158">
        <v>75000</v>
      </c>
      <c r="O34" s="48">
        <f t="shared" si="16"/>
        <v>75000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55653.447757128291</v>
      </c>
      <c r="E37" s="47">
        <v>0</v>
      </c>
      <c r="F37" s="48">
        <f t="shared" si="13"/>
        <v>55653.447757128291</v>
      </c>
      <c r="G37" s="147">
        <f>VLOOKUP($A$1,REM_ToolEnrico!$B$5:$J$38,5,FALSE)</f>
        <v>55464.37676217276</v>
      </c>
      <c r="H37" s="47">
        <v>0</v>
      </c>
      <c r="I37" s="48">
        <f t="shared" si="17"/>
        <v>55464.37676217276</v>
      </c>
      <c r="J37" s="147">
        <f>VLOOKUP($A$1,REM_ToolEnrico!$B$5:$J$38,7,FALSE)</f>
        <v>56701.990141941205</v>
      </c>
      <c r="K37" s="47">
        <v>0</v>
      </c>
      <c r="L37" s="48">
        <f t="shared" si="15"/>
        <v>56701.990141941205</v>
      </c>
      <c r="M37" s="147">
        <f>VLOOKUP($A$1,REM_ToolEnrico!$B$5:$J$38,9,FALSE)</f>
        <v>56219.311283160707</v>
      </c>
      <c r="N37" s="47">
        <v>0</v>
      </c>
      <c r="O37" s="48">
        <f t="shared" si="16"/>
        <v>56219.311283160707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757.64042525840887</v>
      </c>
      <c r="E38" s="47">
        <v>0</v>
      </c>
      <c r="F38" s="48">
        <f t="shared" si="13"/>
        <v>757.64042525840887</v>
      </c>
      <c r="G38" s="47">
        <v>759.15570610892564</v>
      </c>
      <c r="H38" s="47">
        <v>0</v>
      </c>
      <c r="I38" s="48">
        <f t="shared" si="17"/>
        <v>759.15570610892564</v>
      </c>
      <c r="J38" s="47">
        <v>759.15570610892564</v>
      </c>
      <c r="K38" s="47">
        <v>0</v>
      </c>
      <c r="L38" s="48">
        <f t="shared" si="15"/>
        <v>759.15570610892564</v>
      </c>
      <c r="M38" s="47">
        <v>759.15570610892564</v>
      </c>
      <c r="N38" s="47">
        <v>0</v>
      </c>
      <c r="O38" s="48">
        <f t="shared" si="16"/>
        <v>759.15570610892564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189918.65476101486</v>
      </c>
      <c r="E40" s="51">
        <f>E38+E37+E32+E31+E39</f>
        <v>50000</v>
      </c>
      <c r="F40" s="52">
        <f t="shared" si="13"/>
        <v>239918.65476101486</v>
      </c>
      <c r="G40" s="51">
        <f>G38+G37+G32+G31+G39</f>
        <v>167190.31999156246</v>
      </c>
      <c r="H40" s="51">
        <f>H38+H37+H32+H31+H39</f>
        <v>75000</v>
      </c>
      <c r="I40" s="52">
        <f t="shared" si="17"/>
        <v>242190.31999156246</v>
      </c>
      <c r="J40" s="51">
        <f>J38+J37+J32+J31+J39</f>
        <v>175536.14684768498</v>
      </c>
      <c r="K40" s="51">
        <f>K38+K37+K32+K31+K39</f>
        <v>75000</v>
      </c>
      <c r="L40" s="52">
        <f t="shared" si="15"/>
        <v>250536.14684768498</v>
      </c>
      <c r="M40" s="51">
        <f>M38+M37+M32+M31+M39</f>
        <v>173805.03650915902</v>
      </c>
      <c r="N40" s="51">
        <f>N38+N37+N32+N31+N39</f>
        <v>75000</v>
      </c>
      <c r="O40" s="52">
        <f t="shared" si="16"/>
        <v>248805.03650915902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11067.949879414406</v>
      </c>
      <c r="E42" s="22">
        <v>0</v>
      </c>
      <c r="F42" s="36">
        <f t="shared" si="13"/>
        <v>11067.949879414406</v>
      </c>
      <c r="G42" s="22">
        <v>20854.722280825852</v>
      </c>
      <c r="H42" s="22">
        <v>0</v>
      </c>
      <c r="I42" s="36">
        <f t="shared" si="17"/>
        <v>20854.722280825852</v>
      </c>
      <c r="J42" s="22">
        <v>20854.722280825852</v>
      </c>
      <c r="K42" s="22">
        <v>0</v>
      </c>
      <c r="L42" s="36">
        <f t="shared" si="15"/>
        <v>20854.722280825852</v>
      </c>
      <c r="M42" s="22">
        <v>20854.722280825852</v>
      </c>
      <c r="N42" s="22">
        <v>0</v>
      </c>
      <c r="O42" s="36">
        <f t="shared" si="16"/>
        <v>20854.722280825852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-44018.830162626815</v>
      </c>
      <c r="F44" s="36">
        <f t="shared" si="13"/>
        <v>-44018.830162626815</v>
      </c>
      <c r="G44" s="57">
        <v>-1827.118306418266</v>
      </c>
      <c r="H44" s="57">
        <v>-53003.830162626815</v>
      </c>
      <c r="I44" s="36">
        <f t="shared" si="17"/>
        <v>-54830.948469045077</v>
      </c>
      <c r="J44" s="57">
        <v>8200.4987500000025</v>
      </c>
      <c r="K44" s="57">
        <v>-3704.9614875000002</v>
      </c>
      <c r="L44" s="36">
        <f t="shared" si="15"/>
        <v>4495.5372625000018</v>
      </c>
      <c r="M44" s="57">
        <v>20000</v>
      </c>
      <c r="N44" s="57">
        <v>0</v>
      </c>
      <c r="O44" s="36">
        <f>M44+N44</f>
        <v>20000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76090.028872249008</v>
      </c>
      <c r="F45" s="36">
        <f>E45</f>
        <v>76090.028872249008</v>
      </c>
      <c r="G45" s="34"/>
      <c r="H45" s="22">
        <f>G47*0.1</f>
        <v>76647.979791565682</v>
      </c>
      <c r="I45" s="36">
        <f>H45</f>
        <v>76647.979791565682</v>
      </c>
      <c r="J45" s="34"/>
      <c r="K45" s="22">
        <f>J47*0.1</f>
        <v>78485.324182819779</v>
      </c>
      <c r="L45" s="36">
        <f>K45</f>
        <v>78485.324182819779</v>
      </c>
      <c r="M45" s="34"/>
      <c r="N45" s="22">
        <f>M47*0.1</f>
        <v>79492.163273967177</v>
      </c>
      <c r="O45" s="36">
        <f>N45</f>
        <v>79492.163273967177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760900.28872249008</v>
      </c>
      <c r="E47" s="59">
        <f>E25+E30+E40+E41+E42+E43+E44+E45</f>
        <v>134542.89542322219</v>
      </c>
      <c r="F47" s="60">
        <f>D47+E47</f>
        <v>895443.18414571229</v>
      </c>
      <c r="G47" s="59">
        <f>G25+G30+G40+G41+G42+G43+G44+G46</f>
        <v>766479.79791565682</v>
      </c>
      <c r="H47" s="59">
        <f>H25+H30+H40+H41+H42+H43+H44+H45+H46</f>
        <v>151173.76362893888</v>
      </c>
      <c r="I47" s="60">
        <f>G47+H47</f>
        <v>917653.56154459575</v>
      </c>
      <c r="J47" s="59">
        <f>J25+J30+J40+J41+J42+J43+J44+J46</f>
        <v>784853.24182819773</v>
      </c>
      <c r="K47" s="59">
        <f>K25+K30+K40+K41+K42+K43+K44+K45+K46</f>
        <v>202309.97669531978</v>
      </c>
      <c r="L47" s="60">
        <f>J47+K47</f>
        <v>987163.21852351748</v>
      </c>
      <c r="M47" s="59">
        <f>M25+M30+M40+M41+M42+M43+M44+M46</f>
        <v>794921.63273967174</v>
      </c>
      <c r="N47" s="59">
        <f>N25+N30+N40+N41+N42+N43+N44+N45+N46</f>
        <v>207021.77727396716</v>
      </c>
      <c r="O47" s="60">
        <f>M47+N47</f>
        <v>1001943.4100136389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2032977.9751600041</v>
      </c>
      <c r="E49" s="65">
        <v>280767.95188391116</v>
      </c>
      <c r="F49" s="65">
        <f>D49+E49</f>
        <v>2313745.9270439153</v>
      </c>
      <c r="G49" s="65">
        <f>G50</f>
        <v>2065463.8957562761</v>
      </c>
      <c r="H49" s="65">
        <v>514460.38008085475</v>
      </c>
      <c r="I49" s="65">
        <f t="shared" ref="I49" si="21">G49+H49</f>
        <v>2579924.2758371308</v>
      </c>
      <c r="J49" s="65">
        <f>J50</f>
        <v>2110636.8409188171</v>
      </c>
      <c r="K49" s="65">
        <v>550149.99650111399</v>
      </c>
      <c r="L49" s="65">
        <f t="shared" ref="L49" si="22">J49+K49</f>
        <v>2660786.8374199308</v>
      </c>
      <c r="M49" s="65">
        <f>M50</f>
        <v>2113905.7305802908</v>
      </c>
      <c r="N49" s="65">
        <v>553854.95798861398</v>
      </c>
      <c r="O49" s="65">
        <f t="shared" ref="O49" si="23">M49+N49</f>
        <v>2667760.688568905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2030167.5120441476</v>
      </c>
      <c r="E50" s="59">
        <f t="shared" si="24"/>
        <v>295078.8700102556</v>
      </c>
      <c r="F50" s="59">
        <f t="shared" si="24"/>
        <v>2325246.3820544034</v>
      </c>
      <c r="G50" s="59">
        <f>+G23+G47</f>
        <v>2065463.8957562761</v>
      </c>
      <c r="H50" s="59">
        <f t="shared" si="24"/>
        <v>309681.42566786846</v>
      </c>
      <c r="I50" s="59">
        <f t="shared" si="24"/>
        <v>2375145.3214241443</v>
      </c>
      <c r="J50" s="59">
        <f t="shared" si="24"/>
        <v>2110636.8409188171</v>
      </c>
      <c r="K50" s="59">
        <f>+K23+K47</f>
        <v>314888.33660438168</v>
      </c>
      <c r="L50" s="59">
        <f t="shared" si="24"/>
        <v>2425525.1775231985</v>
      </c>
      <c r="M50" s="59">
        <f>+M23+M47</f>
        <v>2113905.7305802908</v>
      </c>
      <c r="N50" s="59">
        <f t="shared" si="24"/>
        <v>323920.18705802911</v>
      </c>
      <c r="O50" s="59">
        <f t="shared" si="24"/>
        <v>2437825.91763832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21060.182577843912</v>
      </c>
      <c r="E51" s="68">
        <f>E44+E20</f>
        <v>-10409.577907759158</v>
      </c>
      <c r="F51" s="146"/>
      <c r="G51" s="68">
        <f>G44+G20</f>
        <v>-1827.118306418266</v>
      </c>
      <c r="H51" s="68">
        <f>H44+H20</f>
        <v>-24394.577907759158</v>
      </c>
      <c r="I51" s="146"/>
      <c r="J51" s="68">
        <f>J44+J20</f>
        <v>35000</v>
      </c>
      <c r="K51" s="68">
        <f>K44+K20</f>
        <v>-23704.961487500001</v>
      </c>
      <c r="L51" s="146"/>
      <c r="M51" s="68">
        <f>M44+M20</f>
        <v>40000</v>
      </c>
      <c r="N51" s="68">
        <f>N44+N20</f>
        <v>-15000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179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0.82599999999999996</v>
      </c>
      <c r="G53" s="72"/>
      <c r="H53" s="73"/>
      <c r="I53" s="74">
        <v>0.82599999999999996</v>
      </c>
      <c r="J53" s="72"/>
      <c r="K53" s="73"/>
      <c r="L53" s="74">
        <v>0.82599999999999996</v>
      </c>
      <c r="M53" s="72"/>
      <c r="N53" s="73"/>
      <c r="O53" s="74">
        <v>0.82599999999999996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8492.9089999999997</v>
      </c>
      <c r="G54" s="34"/>
      <c r="H54" s="76"/>
      <c r="I54" s="77">
        <v>8492.9089999999997</v>
      </c>
      <c r="J54" s="34"/>
      <c r="K54" s="76"/>
      <c r="L54" s="77">
        <v>8492.9089999999997</v>
      </c>
      <c r="M54" s="34"/>
      <c r="N54" s="76"/>
      <c r="O54" s="77">
        <v>8492.9089999999997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28.586599769660165</v>
      </c>
      <c r="G55" s="34"/>
      <c r="H55" s="76"/>
      <c r="I55" s="78">
        <v>26.702126184344589</v>
      </c>
      <c r="J55" s="34"/>
      <c r="K55" s="76"/>
      <c r="L55" s="78">
        <v>27.09031999225418</v>
      </c>
      <c r="M55" s="34"/>
      <c r="N55" s="76"/>
      <c r="O55" s="78">
        <v>28.851190791750696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26.534071386840811</v>
      </c>
      <c r="G56" s="81"/>
      <c r="H56" s="82"/>
      <c r="I56" s="78">
        <v>26.534071386840811</v>
      </c>
      <c r="J56" s="81"/>
      <c r="K56" s="82"/>
      <c r="L56" s="78">
        <v>26.534071386840811</v>
      </c>
      <c r="M56" s="81"/>
      <c r="N56" s="82"/>
      <c r="O56" s="78">
        <v>26.534071386840811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-0.11618613571986716</v>
      </c>
      <c r="G60" s="90"/>
      <c r="H60" s="76"/>
      <c r="I60" s="89">
        <v>-0.11618613571986716</v>
      </c>
      <c r="J60" s="34"/>
      <c r="K60" s="91"/>
      <c r="L60" s="89">
        <v>-0.11618613571986716</v>
      </c>
      <c r="M60" s="34"/>
      <c r="N60" s="76"/>
      <c r="O60" s="89">
        <v>-0.11618613571986716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-0.11618613571986716</v>
      </c>
      <c r="G61" s="90"/>
      <c r="H61" s="76"/>
      <c r="I61" s="92">
        <v>-0.11618613571986716</v>
      </c>
      <c r="J61" s="34"/>
      <c r="K61" s="76"/>
      <c r="L61" s="93">
        <v>-0.11618613571986716</v>
      </c>
      <c r="M61" s="34"/>
      <c r="N61" s="76"/>
      <c r="O61" s="92">
        <v>-0.11618613571986716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0.88381386428013287</v>
      </c>
      <c r="G62" s="95"/>
      <c r="H62" s="82"/>
      <c r="I62" s="94">
        <v>0.88381386428013287</v>
      </c>
      <c r="J62" s="81"/>
      <c r="K62" s="82"/>
      <c r="L62" s="94">
        <v>0.88381386428013287</v>
      </c>
      <c r="M62" s="81"/>
      <c r="N62" s="82"/>
      <c r="O62" s="94">
        <v>0.88381386428013287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2325246.3820544034</v>
      </c>
      <c r="G72" s="34"/>
      <c r="H72" s="76"/>
      <c r="I72" s="108">
        <f>I50</f>
        <v>2375145.3214241443</v>
      </c>
      <c r="J72" s="34"/>
      <c r="K72" s="76"/>
      <c r="L72" s="108">
        <f>L50</f>
        <v>2425525.1775231985</v>
      </c>
      <c r="M72" s="34"/>
      <c r="N72" s="76"/>
      <c r="O72" s="108">
        <f>O50</f>
        <v>2437825.91763832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1490633.9631984956</v>
      </c>
      <c r="G73" s="34"/>
      <c r="H73" s="76"/>
      <c r="I73" s="110">
        <f>F81</f>
        <v>1429803.1979086911</v>
      </c>
      <c r="J73" s="34"/>
      <c r="K73" s="76"/>
      <c r="L73" s="110">
        <f>I81</f>
        <v>1457491.7598795488</v>
      </c>
      <c r="M73" s="34"/>
      <c r="N73" s="76"/>
      <c r="O73" s="110">
        <f>L81</f>
        <v>1438361.9589996813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777153.31470306276</v>
      </c>
      <c r="G74" s="34"/>
      <c r="H74" s="76"/>
      <c r="I74" s="110">
        <f>F82</f>
        <v>895443.18414571218</v>
      </c>
      <c r="J74" s="34"/>
      <c r="K74" s="76"/>
      <c r="L74" s="110">
        <f>I82</f>
        <v>917653.56154459575</v>
      </c>
      <c r="M74" s="34"/>
      <c r="N74" s="76"/>
      <c r="O74" s="110">
        <f>L82</f>
        <v>987163.2185235176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2267787.2779015582</v>
      </c>
      <c r="G75" s="34"/>
      <c r="H75" s="76"/>
      <c r="I75" s="111">
        <f>SUM(I73:I74)</f>
        <v>2325246.3820544034</v>
      </c>
      <c r="J75" s="34"/>
      <c r="K75" s="76"/>
      <c r="L75" s="111">
        <f>SUM(L73:L74)</f>
        <v>2375145.3214241443</v>
      </c>
      <c r="M75" s="34"/>
      <c r="N75" s="76"/>
      <c r="O75" s="111">
        <f>SUM(O73:O74)</f>
        <v>2425525.177523199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1.0253370784432716</v>
      </c>
      <c r="G76" s="81"/>
      <c r="H76" s="82"/>
      <c r="I76" s="112">
        <f>I72/I75</f>
        <v>1.0214596353121317</v>
      </c>
      <c r="J76" s="81"/>
      <c r="K76" s="82"/>
      <c r="L76" s="112">
        <f>L72/L75</f>
        <v>1.0212112731143737</v>
      </c>
      <c r="M76" s="81"/>
      <c r="N76" s="82"/>
      <c r="O76" s="112">
        <f>O72/O75</f>
        <v>1.0050713718534481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2325246.3820544034</v>
      </c>
      <c r="G78" s="73"/>
      <c r="H78" s="73"/>
      <c r="I78" s="115">
        <f>IF(I72&lt;=I75*I71,I72,I75*I71)</f>
        <v>2375145.3214241443</v>
      </c>
      <c r="J78" s="73"/>
      <c r="K78" s="73"/>
      <c r="L78" s="115">
        <f>IF(L72&lt;=L75*L71,L72,L75*L71)</f>
        <v>2425525.1775231985</v>
      </c>
      <c r="M78" s="73"/>
      <c r="N78" s="73"/>
      <c r="O78" s="115">
        <f>IF(O72&lt;=O75*O71,O72,O75*O71)</f>
        <v>2437825.91763832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1269267.2233216576</v>
      </c>
      <c r="E81" s="120">
        <f>E23</f>
        <v>160535.97458703342</v>
      </c>
      <c r="F81" s="115">
        <f>D81+E81</f>
        <v>1429803.1979086911</v>
      </c>
      <c r="G81" s="119">
        <f>G23-I79</f>
        <v>1298984.0978406193</v>
      </c>
      <c r="H81" s="120">
        <f>H23</f>
        <v>158507.66203892959</v>
      </c>
      <c r="I81" s="115">
        <f>G81+H81</f>
        <v>1457491.7598795488</v>
      </c>
      <c r="J81" s="119">
        <f>J23-L79</f>
        <v>1325783.5990906192</v>
      </c>
      <c r="K81" s="120">
        <f>K23</f>
        <v>112578.35990906192</v>
      </c>
      <c r="L81" s="115">
        <f>J81+K81</f>
        <v>1438361.9589996813</v>
      </c>
      <c r="M81" s="119">
        <f>M23-O79</f>
        <v>1318984.0978406193</v>
      </c>
      <c r="N81" s="120">
        <f>N23</f>
        <v>116898.40978406192</v>
      </c>
      <c r="O81" s="115">
        <f>M81+N81</f>
        <v>1435882.5076246811</v>
      </c>
    </row>
    <row r="82" spans="1:52" s="14" customFormat="1" ht="20" customHeight="1" thickBot="1">
      <c r="B82" s="118" t="s">
        <v>72</v>
      </c>
      <c r="D82" s="121">
        <f>D50-D81-F79</f>
        <v>760900.28872248996</v>
      </c>
      <c r="E82" s="122">
        <f>E50-E81</f>
        <v>134542.89542322219</v>
      </c>
      <c r="F82" s="123">
        <f>D82+E82</f>
        <v>895443.18414571218</v>
      </c>
      <c r="G82" s="121">
        <f>G49-G81-I79</f>
        <v>766479.79791565682</v>
      </c>
      <c r="H82" s="122">
        <f>H50-H81</f>
        <v>151173.76362893888</v>
      </c>
      <c r="I82" s="123">
        <f>G82+H82</f>
        <v>917653.56154459575</v>
      </c>
      <c r="J82" s="121">
        <f>J50-J81-L79</f>
        <v>784853.24182819785</v>
      </c>
      <c r="K82" s="122">
        <f>K50-K81</f>
        <v>202309.97669531975</v>
      </c>
      <c r="L82" s="123">
        <f>J82+K82</f>
        <v>987163.2185235176</v>
      </c>
      <c r="M82" s="121">
        <f>M49-M81-O79</f>
        <v>794921.63273967151</v>
      </c>
      <c r="N82" s="122">
        <f>N50-N81</f>
        <v>207021.77727396719</v>
      </c>
      <c r="O82" s="123">
        <f>M82+N82</f>
        <v>1001943.4100136387</v>
      </c>
    </row>
    <row r="83" spans="1:52" s="124" customFormat="1" ht="17.25" customHeight="1" thickBot="1">
      <c r="B83" s="125" t="s">
        <v>73</v>
      </c>
      <c r="C83" s="14"/>
      <c r="D83" s="126">
        <f>SUM(D81:D82)</f>
        <v>2030167.5120441476</v>
      </c>
      <c r="E83" s="127">
        <f t="shared" ref="E83:O83" si="25">SUM(E81:E82)</f>
        <v>295078.8700102556</v>
      </c>
      <c r="F83" s="128">
        <f t="shared" si="25"/>
        <v>2325246.3820544034</v>
      </c>
      <c r="G83" s="126">
        <f t="shared" si="25"/>
        <v>2065463.8957562761</v>
      </c>
      <c r="H83" s="127">
        <f t="shared" si="25"/>
        <v>309681.42566786846</v>
      </c>
      <c r="I83" s="128">
        <f t="shared" si="25"/>
        <v>2375145.3214241443</v>
      </c>
      <c r="J83" s="126">
        <f t="shared" si="25"/>
        <v>2110636.8409188171</v>
      </c>
      <c r="K83" s="127">
        <f t="shared" si="25"/>
        <v>314888.33660438168</v>
      </c>
      <c r="L83" s="128">
        <f t="shared" si="25"/>
        <v>2425525.177523199</v>
      </c>
      <c r="M83" s="126">
        <f t="shared" si="25"/>
        <v>2113905.7305802908</v>
      </c>
      <c r="N83" s="127">
        <f t="shared" si="25"/>
        <v>323920.18705802911</v>
      </c>
      <c r="O83" s="128">
        <f t="shared" si="25"/>
        <v>2437825.9176383195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/>
      <c r="G85" s="73"/>
      <c r="H85" s="73"/>
      <c r="I85" s="131"/>
      <c r="J85" s="73"/>
      <c r="K85" s="73"/>
      <c r="L85" s="131"/>
      <c r="M85" s="73"/>
      <c r="N85" s="73"/>
      <c r="O85" s="131"/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1429803.1979086911</v>
      </c>
      <c r="G88" s="72"/>
      <c r="H88" s="73"/>
      <c r="I88" s="136">
        <f>I81-I85</f>
        <v>1457491.7598795488</v>
      </c>
      <c r="J88" s="72"/>
      <c r="K88" s="73"/>
      <c r="L88" s="136">
        <f>L81-L85</f>
        <v>1438361.9589996813</v>
      </c>
      <c r="M88" s="72"/>
      <c r="N88" s="73"/>
      <c r="O88" s="136">
        <f>O81-O85</f>
        <v>1435882.5076246811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895443.18414571218</v>
      </c>
      <c r="G89" s="34"/>
      <c r="H89" s="76"/>
      <c r="I89" s="138">
        <f>I82-I86</f>
        <v>917653.56154459575</v>
      </c>
      <c r="J89" s="34"/>
      <c r="K89" s="76"/>
      <c r="L89" s="138">
        <f>L82-L86</f>
        <v>987163.2185235176</v>
      </c>
      <c r="M89" s="34"/>
      <c r="N89" s="76"/>
      <c r="O89" s="138">
        <f>O82-O86</f>
        <v>1001943.4100136387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2325246.3820544034</v>
      </c>
      <c r="G90" s="81"/>
      <c r="H90" s="82"/>
      <c r="I90" s="139">
        <f>+I88+I89</f>
        <v>2375145.3214241443</v>
      </c>
      <c r="J90" s="81"/>
      <c r="K90" s="82"/>
      <c r="L90" s="139">
        <f>+L88+L89</f>
        <v>2425525.177523199</v>
      </c>
      <c r="M90" s="81"/>
      <c r="N90" s="82"/>
      <c r="O90" s="139">
        <f>+O88+O89</f>
        <v>2437825.9176383195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-837.80378162012494</v>
      </c>
      <c r="E92" s="143">
        <v>0</v>
      </c>
      <c r="F92" s="144">
        <f>D92+E92</f>
        <v>-837.80378162012494</v>
      </c>
      <c r="G92" s="142">
        <v>-39716.816283873799</v>
      </c>
      <c r="H92" s="143">
        <v>0</v>
      </c>
      <c r="I92" s="144">
        <f>G92+H92</f>
        <v>-39716.816283873799</v>
      </c>
      <c r="J92" s="142">
        <v>-39716.816283873799</v>
      </c>
      <c r="K92" s="143">
        <v>0</v>
      </c>
      <c r="L92" s="144">
        <f>J92+K92</f>
        <v>-39716.816283873799</v>
      </c>
      <c r="M92" s="142">
        <v>-39716.816283873799</v>
      </c>
      <c r="N92" s="143">
        <v>0</v>
      </c>
      <c r="O92" s="144">
        <f>M92+N92</f>
        <v>-39716.816283873799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2088887.6137970202</v>
      </c>
      <c r="E96" s="166">
        <f>E6+E7+E8+E9+E11+E25+E30+E40+E42+E21+E45</f>
        <v>305488.44791801478</v>
      </c>
      <c r="F96" s="166">
        <f t="shared" ref="F96" si="26">F6+F7+F8+F9+F11+F25+F30+F40+F42</f>
        <v>2191359.31051062</v>
      </c>
      <c r="G96" s="166">
        <f t="shared" ref="G96" si="27">G6+G7+G8+G9+G11+G25+G30+G40+G42+G21+G45</f>
        <v>2146991.597809664</v>
      </c>
      <c r="H96" s="166">
        <f t="shared" ref="H96" si="28">H6+H7+H8+H9+H11+H25+H30+H40+H42</f>
        <v>127529.614</v>
      </c>
      <c r="I96" s="166">
        <f t="shared" ref="I96" si="29">I6+I7+I8+I9+I11+I25+I30+I40+I42+I21+I45</f>
        <v>2481067.6013852917</v>
      </c>
      <c r="J96" s="166">
        <f t="shared" ref="J96" si="30">J6+J7+J8+J9+J11+J25+J30+J40+J42</f>
        <v>2155337.4246657868</v>
      </c>
      <c r="K96" s="166">
        <f t="shared" ref="K96" si="31">K6+K7+K8+K9+K11+K25+K30+K40+K42+K21+K45</f>
        <v>338593.29809188168</v>
      </c>
      <c r="L96" s="166">
        <f t="shared" ref="L96" si="32">L6+L7+L8+L9+L11+L25+L30+L40+L42</f>
        <v>2282867.0386657869</v>
      </c>
      <c r="M96" s="166">
        <f t="shared" ref="M96" si="33">M6+M7+M8+M9+M11+M25+M30+M40+M42+M21+M45</f>
        <v>2153606.3143272609</v>
      </c>
      <c r="N96" s="166">
        <f t="shared" ref="N96" si="34">N6+N7+N8+N9+N11+N25+N30+N40+N42</f>
        <v>127529.614</v>
      </c>
      <c r="O96" s="166">
        <f t="shared" ref="O96" si="35">O6+O7+O8+O9+O11+O25+O30+O40+O42+O21+O45</f>
        <v>2492526.5013852902</v>
      </c>
    </row>
    <row r="97" spans="4:15" s="14" customFormat="1">
      <c r="D97" s="166">
        <f>D96-D15-D19</f>
        <v>2009107.3294663038</v>
      </c>
      <c r="E97" s="166">
        <f>E96-E15-E19</f>
        <v>305488.44791801478</v>
      </c>
      <c r="F97" s="166">
        <f t="shared" ref="F97:O97" si="36">F96-F15-F19</f>
        <v>2111579.0261799037</v>
      </c>
      <c r="G97" s="166">
        <f t="shared" si="36"/>
        <v>2067291.0140626945</v>
      </c>
      <c r="H97" s="166">
        <f t="shared" si="36"/>
        <v>127529.614</v>
      </c>
      <c r="I97" s="166">
        <f t="shared" si="36"/>
        <v>2401367.0176383224</v>
      </c>
      <c r="J97" s="166">
        <f t="shared" si="36"/>
        <v>2075636.8409188173</v>
      </c>
      <c r="K97" s="166">
        <f t="shared" si="36"/>
        <v>338593.29809188168</v>
      </c>
      <c r="L97" s="166">
        <f t="shared" si="36"/>
        <v>2203166.4549188176</v>
      </c>
      <c r="M97" s="166">
        <f t="shared" si="36"/>
        <v>2073905.7305802915</v>
      </c>
      <c r="N97" s="166">
        <f t="shared" si="36"/>
        <v>127529.614</v>
      </c>
      <c r="O97" s="166">
        <f t="shared" si="36"/>
        <v>2412825.9176383209</v>
      </c>
    </row>
    <row r="98" spans="4:15" s="14" customFormat="1">
      <c r="D98" s="166">
        <f>D20+D44</f>
        <v>21060.182577843912</v>
      </c>
      <c r="E98" s="166">
        <f>E20+E44</f>
        <v>-10409.577907759158</v>
      </c>
      <c r="F98" s="166">
        <f t="shared" ref="F98:O98" si="37">F20+F44</f>
        <v>10650.604670084758</v>
      </c>
      <c r="G98" s="166">
        <f t="shared" si="37"/>
        <v>-1827.118306418266</v>
      </c>
      <c r="H98" s="166">
        <f t="shared" si="37"/>
        <v>-24394.577907759158</v>
      </c>
      <c r="I98" s="166">
        <f t="shared" si="37"/>
        <v>-26221.69621417742</v>
      </c>
      <c r="J98" s="166">
        <f t="shared" si="37"/>
        <v>35000</v>
      </c>
      <c r="K98" s="166">
        <f t="shared" si="37"/>
        <v>-23704.961487500001</v>
      </c>
      <c r="L98" s="166">
        <f t="shared" si="37"/>
        <v>11295.038512499999</v>
      </c>
      <c r="M98" s="166">
        <f t="shared" si="37"/>
        <v>40000</v>
      </c>
      <c r="N98" s="166">
        <f t="shared" si="37"/>
        <v>-15000</v>
      </c>
      <c r="O98" s="166">
        <f t="shared" si="37"/>
        <v>25000</v>
      </c>
    </row>
    <row r="99" spans="4:15" s="14" customFormat="1" ht="14"/>
    <row r="100" spans="4:15" s="14" customFormat="1" ht="14">
      <c r="E100" s="165">
        <v>0</v>
      </c>
    </row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03" priority="7" operator="containsText" text="ERRORE">
      <formula>NOT(ISERROR(SEARCH("ERRORE",F81)))</formula>
    </cfRule>
  </conditionalFormatting>
  <conditionalFormatting sqref="I83">
    <cfRule type="containsText" dxfId="102" priority="6" operator="containsText" text="ERRORE">
      <formula>NOT(ISERROR(SEARCH("ERRORE",I83)))</formula>
    </cfRule>
  </conditionalFormatting>
  <conditionalFormatting sqref="I81:I82">
    <cfRule type="containsText" dxfId="101" priority="5" operator="containsText" text="ERRORE">
      <formula>NOT(ISERROR(SEARCH("ERRORE",I81)))</formula>
    </cfRule>
  </conditionalFormatting>
  <conditionalFormatting sqref="L83">
    <cfRule type="containsText" dxfId="100" priority="4" operator="containsText" text="ERRORE">
      <formula>NOT(ISERROR(SEARCH("ERRORE",L83)))</formula>
    </cfRule>
  </conditionalFormatting>
  <conditionalFormatting sqref="L81:L82">
    <cfRule type="containsText" dxfId="99" priority="3" operator="containsText" text="ERRORE">
      <formula>NOT(ISERROR(SEARCH("ERRORE",L81)))</formula>
    </cfRule>
  </conditionalFormatting>
  <conditionalFormatting sqref="O83">
    <cfRule type="containsText" dxfId="98" priority="2" operator="containsText" text="ERRORE">
      <formula>NOT(ISERROR(SEARCH("ERRORE",O83)))</formula>
    </cfRule>
  </conditionalFormatting>
  <conditionalFormatting sqref="O81:O82">
    <cfRule type="containsText" dxfId="97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F73" zoomScale="70" zoomScaleNormal="70" zoomScalePageLayoutView="70" workbookViewId="0">
      <selection activeCell="O83" sqref="O83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104</v>
      </c>
      <c r="B1" s="2" t="str">
        <f>"       PEF 2022 - 2025"&amp;" - "&amp;A1</f>
        <v xml:space="preserve">       PEF 2022 - 2025 - Noventa di Piave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152</v>
      </c>
      <c r="E4" s="188"/>
      <c r="F4" s="189"/>
      <c r="G4" s="187" t="str">
        <f>D4</f>
        <v>Ambito tariffario: NOVENTA DI PIAVE</v>
      </c>
      <c r="H4" s="188"/>
      <c r="I4" s="189"/>
      <c r="J4" s="187" t="str">
        <f>D4</f>
        <v>Ambito tariffario: NOVENTA DI PIAVE</v>
      </c>
      <c r="K4" s="188"/>
      <c r="L4" s="189"/>
      <c r="M4" s="187" t="str">
        <f>D4</f>
        <v>Ambito tariffario: NOVENTA DI PIAVE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89983.159705355924</v>
      </c>
      <c r="E6" s="22">
        <v>0</v>
      </c>
      <c r="F6" s="23">
        <f>D6+E6</f>
        <v>89983.159705355924</v>
      </c>
      <c r="G6" s="22">
        <v>93083.421553197302</v>
      </c>
      <c r="H6" s="22">
        <v>0</v>
      </c>
      <c r="I6" s="23">
        <f>G6+H6</f>
        <v>93083.421553197302</v>
      </c>
      <c r="J6" s="22">
        <v>93083.421553197302</v>
      </c>
      <c r="K6" s="22">
        <v>0</v>
      </c>
      <c r="L6" s="23">
        <f>J6+K6</f>
        <v>93083.421553197302</v>
      </c>
      <c r="M6" s="22">
        <v>93083.421553197302</v>
      </c>
      <c r="N6" s="22">
        <v>0</v>
      </c>
      <c r="O6" s="23">
        <f>M6+N6</f>
        <v>93083.421553197302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172547.53933673559</v>
      </c>
      <c r="E7" s="22">
        <v>0</v>
      </c>
      <c r="F7" s="23">
        <f t="shared" ref="F7:F20" si="0">D7+E7</f>
        <v>172547.53933673559</v>
      </c>
      <c r="G7" s="22">
        <v>180619.57073363202</v>
      </c>
      <c r="H7" s="22">
        <v>0</v>
      </c>
      <c r="I7" s="23">
        <f t="shared" ref="I7:I13" si="1">G7+H7</f>
        <v>180619.57073363202</v>
      </c>
      <c r="J7" s="22">
        <v>180619.57073363202</v>
      </c>
      <c r="K7" s="22">
        <v>0</v>
      </c>
      <c r="L7" s="23">
        <f t="shared" ref="L7:L12" si="2">J7+K7</f>
        <v>180619.57073363202</v>
      </c>
      <c r="M7" s="22">
        <v>180619.57073363202</v>
      </c>
      <c r="N7" s="22">
        <v>0</v>
      </c>
      <c r="O7" s="23">
        <f t="shared" ref="O7:O13" si="3">M7+N7</f>
        <v>180619.57073363202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166284.52540543239</v>
      </c>
      <c r="E8" s="22">
        <v>0</v>
      </c>
      <c r="F8" s="23">
        <f t="shared" si="0"/>
        <v>166284.52540543239</v>
      </c>
      <c r="G8" s="22">
        <v>174067.64170338761</v>
      </c>
      <c r="H8" s="22">
        <v>0</v>
      </c>
      <c r="I8" s="23">
        <f t="shared" si="1"/>
        <v>174067.64170338761</v>
      </c>
      <c r="J8" s="22">
        <v>174067.64170338761</v>
      </c>
      <c r="K8" s="22">
        <v>0</v>
      </c>
      <c r="L8" s="23">
        <f t="shared" si="2"/>
        <v>174067.64170338761</v>
      </c>
      <c r="M8" s="22">
        <v>174067.64170338761</v>
      </c>
      <c r="N8" s="22">
        <v>0</v>
      </c>
      <c r="O8" s="23">
        <f t="shared" si="3"/>
        <v>174067.64170338761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201027.95122987893</v>
      </c>
      <c r="E9" s="22">
        <v>0</v>
      </c>
      <c r="F9" s="23">
        <f t="shared" si="0"/>
        <v>201027.95122987893</v>
      </c>
      <c r="G9" s="22">
        <v>209799.73609839377</v>
      </c>
      <c r="H9" s="22">
        <v>0</v>
      </c>
      <c r="I9" s="23">
        <f t="shared" si="1"/>
        <v>209799.73609839377</v>
      </c>
      <c r="J9" s="22">
        <v>209799.73609839377</v>
      </c>
      <c r="K9" s="22">
        <v>0</v>
      </c>
      <c r="L9" s="23">
        <f t="shared" si="2"/>
        <v>209799.73609839377</v>
      </c>
      <c r="M9" s="22">
        <v>209799.73609839377</v>
      </c>
      <c r="N9" s="22">
        <v>0</v>
      </c>
      <c r="O9" s="23">
        <f t="shared" si="3"/>
        <v>209799.73609839377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2772.1242507353031</v>
      </c>
      <c r="E11" s="22">
        <v>0</v>
      </c>
      <c r="F11" s="23">
        <f t="shared" si="0"/>
        <v>2772.1242507353031</v>
      </c>
      <c r="G11" s="22">
        <v>2772.1242507353031</v>
      </c>
      <c r="H11" s="22">
        <v>0</v>
      </c>
      <c r="I11" s="23">
        <f t="shared" si="1"/>
        <v>2772.1242507353031</v>
      </c>
      <c r="J11" s="22">
        <v>2772.1242507353031</v>
      </c>
      <c r="K11" s="22">
        <v>0</v>
      </c>
      <c r="L11" s="23">
        <f t="shared" si="2"/>
        <v>2772.1242507353031</v>
      </c>
      <c r="M11" s="22">
        <v>2772.1242507353031</v>
      </c>
      <c r="N11" s="22">
        <v>0</v>
      </c>
      <c r="O11" s="23">
        <f t="shared" si="3"/>
        <v>2772.1242507353031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238022.67375003421</v>
      </c>
      <c r="E13" s="22">
        <v>0</v>
      </c>
      <c r="F13" s="23">
        <f t="shared" si="0"/>
        <v>238022.67375003421</v>
      </c>
      <c r="G13" s="22">
        <v>237784.88886117307</v>
      </c>
      <c r="H13" s="22">
        <v>0</v>
      </c>
      <c r="I13" s="23">
        <f t="shared" si="1"/>
        <v>237784.88886117307</v>
      </c>
      <c r="J13" s="22">
        <v>237784.88886117307</v>
      </c>
      <c r="K13" s="22">
        <v>0</v>
      </c>
      <c r="L13" s="23">
        <f>J13+K13</f>
        <v>237784.88886117307</v>
      </c>
      <c r="M13" s="22">
        <v>237784.88886117307</v>
      </c>
      <c r="N13" s="22">
        <v>0</v>
      </c>
      <c r="O13" s="23">
        <f t="shared" si="3"/>
        <v>237784.88886117307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142813.60425002052</v>
      </c>
      <c r="E15" s="22">
        <v>0</v>
      </c>
      <c r="F15" s="23">
        <f t="shared" si="0"/>
        <v>142813.60425002052</v>
      </c>
      <c r="G15" s="22">
        <v>142670.93331670383</v>
      </c>
      <c r="H15" s="22">
        <v>0</v>
      </c>
      <c r="I15" s="23">
        <f t="shared" ref="I15:I16" si="4">G15+H15</f>
        <v>142670.93331670383</v>
      </c>
      <c r="J15" s="22">
        <v>142670.93331670383</v>
      </c>
      <c r="K15" s="22">
        <v>0</v>
      </c>
      <c r="L15" s="23">
        <f t="shared" ref="L15:L16" si="5">J15+K15</f>
        <v>142670.93331670383</v>
      </c>
      <c r="M15" s="22">
        <v>142670.93331670383</v>
      </c>
      <c r="N15" s="22">
        <v>0</v>
      </c>
      <c r="O15" s="23">
        <f t="shared" ref="O15:O16" si="6">M15+N15</f>
        <v>142670.93331670383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0</v>
      </c>
      <c r="E16" s="22">
        <v>0</v>
      </c>
      <c r="F16" s="23">
        <f t="shared" si="0"/>
        <v>0</v>
      </c>
      <c r="G16" s="22">
        <v>0</v>
      </c>
      <c r="H16" s="22">
        <v>0</v>
      </c>
      <c r="I16" s="23">
        <f t="shared" si="4"/>
        <v>0</v>
      </c>
      <c r="J16" s="22">
        <v>0</v>
      </c>
      <c r="K16" s="22">
        <v>0</v>
      </c>
      <c r="L16" s="23">
        <f t="shared" si="5"/>
        <v>0</v>
      </c>
      <c r="M16" s="22">
        <v>0</v>
      </c>
      <c r="N16" s="22">
        <v>0</v>
      </c>
      <c r="O16" s="23">
        <f t="shared" si="6"/>
        <v>0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0</v>
      </c>
      <c r="E19" s="22">
        <v>0</v>
      </c>
      <c r="F19" s="23">
        <f t="shared" si="0"/>
        <v>0</v>
      </c>
      <c r="G19" s="22">
        <v>0</v>
      </c>
      <c r="H19" s="22">
        <v>0</v>
      </c>
      <c r="I19" s="23">
        <f t="shared" ref="I19:I20" si="7">G19+H19</f>
        <v>0</v>
      </c>
      <c r="J19" s="22">
        <v>0</v>
      </c>
      <c r="K19" s="22">
        <v>0</v>
      </c>
      <c r="L19" s="23">
        <f t="shared" ref="L19:L20" si="8">J19+K19</f>
        <v>0</v>
      </c>
      <c r="M19" s="32">
        <v>0</v>
      </c>
      <c r="N19" s="33">
        <v>0</v>
      </c>
      <c r="O19" s="23">
        <f t="shared" ref="O19:O20" si="9">M19+N19</f>
        <v>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34017.664779462735</v>
      </c>
      <c r="E20" s="22">
        <v>0</v>
      </c>
      <c r="F20" s="23">
        <f t="shared" si="0"/>
        <v>34017.664779462735</v>
      </c>
      <c r="G20" s="22">
        <v>0</v>
      </c>
      <c r="H20" s="22">
        <v>0</v>
      </c>
      <c r="I20" s="23">
        <f t="shared" si="7"/>
        <v>0</v>
      </c>
      <c r="J20" s="22">
        <v>0</v>
      </c>
      <c r="K20" s="22">
        <v>0</v>
      </c>
      <c r="L20" s="23">
        <f t="shared" si="8"/>
        <v>0</v>
      </c>
      <c r="M20" s="22">
        <v>-5000</v>
      </c>
      <c r="N20" s="22">
        <v>0</v>
      </c>
      <c r="O20" s="23">
        <f t="shared" si="9"/>
        <v>-5000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52381.936045758041</v>
      </c>
      <c r="F21" s="23">
        <f>E21</f>
        <v>52381.936045758041</v>
      </c>
      <c r="G21" s="34"/>
      <c r="H21" s="22">
        <f>G23*0.1</f>
        <v>51767.156102264213</v>
      </c>
      <c r="I21" s="23">
        <f>H21</f>
        <v>51767.156102264213</v>
      </c>
      <c r="J21" s="34"/>
      <c r="K21" s="22">
        <f>J23*0.1</f>
        <v>51767.156102264213</v>
      </c>
      <c r="L21" s="23">
        <f>K21</f>
        <v>51767.156102264213</v>
      </c>
      <c r="M21" s="34"/>
      <c r="N21" s="22">
        <f>M23*0.1</f>
        <v>51267.156102264213</v>
      </c>
      <c r="O21" s="23">
        <f>N21</f>
        <v>51267.156102264213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523819.36045758036</v>
      </c>
      <c r="E23" s="38">
        <f>E6+E7+E8+E9+E10+E11+E12-E15-E19+E20+E21</f>
        <v>52381.936045758041</v>
      </c>
      <c r="F23" s="38">
        <f>D23+E23</f>
        <v>576201.29650333838</v>
      </c>
      <c r="G23" s="38">
        <f>G6+G7+G8+G9+G10+G11+G12-G15-G19+G20+G22</f>
        <v>517671.56102264213</v>
      </c>
      <c r="H23" s="38">
        <f>H6+H7+H8+H9+H10+H11+H12-H15-H19+H20+H21+H22</f>
        <v>51767.156102264213</v>
      </c>
      <c r="I23" s="38">
        <f>G23+H23</f>
        <v>569438.71712490637</v>
      </c>
      <c r="J23" s="38">
        <f>J6+J7+J8+J9+J10+J11+J12-J15-J19+J20+J22</f>
        <v>517671.56102264213</v>
      </c>
      <c r="K23" s="38">
        <f>K6+K7+K8+K9+K10+K11+K12-K15-K19+K20+K21+K22</f>
        <v>51767.156102264213</v>
      </c>
      <c r="L23" s="38">
        <f>J23+K23</f>
        <v>569438.71712490637</v>
      </c>
      <c r="M23" s="38">
        <f>M6+M7+M8+M9+M10+M11+M12-M15-M19+M20+M22</f>
        <v>512671.56102264213</v>
      </c>
      <c r="N23" s="38">
        <f>N6+N7+N8+N9+N10+N11+N12-N15-N19+N20+N21+N22</f>
        <v>51267.156102264213</v>
      </c>
      <c r="O23" s="38">
        <f>M23+N23</f>
        <v>563938.71712490637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106723.51942492306</v>
      </c>
      <c r="E25" s="171">
        <v>38400</v>
      </c>
      <c r="F25" s="45">
        <f t="shared" ref="F25:F44" si="13">D25+E25</f>
        <v>145123.51942492306</v>
      </c>
      <c r="G25" s="44">
        <v>111553.50601197763</v>
      </c>
      <c r="H25" s="171">
        <v>41614</v>
      </c>
      <c r="I25" s="45">
        <f t="shared" ref="I25:I33" si="14">G25+H25</f>
        <v>153167.50601197762</v>
      </c>
      <c r="J25" s="44">
        <v>111553.50601197763</v>
      </c>
      <c r="K25" s="171">
        <v>41614</v>
      </c>
      <c r="L25" s="45">
        <f t="shared" ref="L25:L44" si="15">J25+K25</f>
        <v>153167.50601197762</v>
      </c>
      <c r="M25" s="44">
        <v>111553.50601197763</v>
      </c>
      <c r="N25" s="171">
        <v>41614</v>
      </c>
      <c r="O25" s="45">
        <f t="shared" ref="O25:O43" si="16">M25+N25</f>
        <v>153167.50601197762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23183.212146160302</v>
      </c>
      <c r="E26" s="178">
        <v>4012</v>
      </c>
      <c r="F26" s="36">
        <f t="shared" si="13"/>
        <v>27195.212146160302</v>
      </c>
      <c r="G26" s="22">
        <v>23862.345976692715</v>
      </c>
      <c r="H26" s="22">
        <v>5010</v>
      </c>
      <c r="I26" s="36">
        <f t="shared" si="14"/>
        <v>28872.345976692715</v>
      </c>
      <c r="J26" s="22">
        <v>23862.345976692715</v>
      </c>
      <c r="K26" s="22">
        <v>5010</v>
      </c>
      <c r="L26" s="36">
        <f t="shared" si="15"/>
        <v>28872.345976692715</v>
      </c>
      <c r="M26" s="22">
        <v>23862.345976692715</v>
      </c>
      <c r="N26" s="22">
        <v>5010</v>
      </c>
      <c r="O26" s="36">
        <f t="shared" si="16"/>
        <v>28872.345976692715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60393.596217176026</v>
      </c>
      <c r="E27" s="182">
        <v>4012</v>
      </c>
      <c r="F27" s="48">
        <f t="shared" si="13"/>
        <v>64405.596217176026</v>
      </c>
      <c r="G27" s="47">
        <v>62719.135354388301</v>
      </c>
      <c r="H27" s="47">
        <v>5010</v>
      </c>
      <c r="I27" s="48">
        <f t="shared" si="14"/>
        <v>67729.135354388301</v>
      </c>
      <c r="J27" s="47">
        <v>62719.135354388301</v>
      </c>
      <c r="K27" s="47">
        <v>5010</v>
      </c>
      <c r="L27" s="48">
        <f t="shared" si="15"/>
        <v>67729.135354388301</v>
      </c>
      <c r="M27" s="47">
        <v>62719.135354388301</v>
      </c>
      <c r="N27" s="47">
        <v>5010</v>
      </c>
      <c r="O27" s="48">
        <f t="shared" si="16"/>
        <v>67729.135354388301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1565.0140242019149</v>
      </c>
      <c r="E29" s="47">
        <v>4106</v>
      </c>
      <c r="F29" s="48">
        <f t="shared" si="13"/>
        <v>5671.0140242019152</v>
      </c>
      <c r="G29" s="47">
        <v>1576.2573327301939</v>
      </c>
      <c r="H29" s="47">
        <v>4106</v>
      </c>
      <c r="I29" s="48">
        <f t="shared" si="14"/>
        <v>5682.2573327301943</v>
      </c>
      <c r="J29" s="47">
        <v>1576.2573327301939</v>
      </c>
      <c r="K29" s="47">
        <f>H29</f>
        <v>4106</v>
      </c>
      <c r="L29" s="48">
        <f t="shared" si="15"/>
        <v>5682.2573327301943</v>
      </c>
      <c r="M29" s="47">
        <v>1576.2573327301939</v>
      </c>
      <c r="N29" s="47">
        <f>K29</f>
        <v>4106</v>
      </c>
      <c r="O29" s="48">
        <f t="shared" si="16"/>
        <v>5682.2573327301943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85141.822387538239</v>
      </c>
      <c r="E30" s="51">
        <f>+E26+E27+E28+E29</f>
        <v>12130</v>
      </c>
      <c r="F30" s="52">
        <f t="shared" si="13"/>
        <v>97271.822387538239</v>
      </c>
      <c r="G30" s="51">
        <f>+G26+G27+G28+G29</f>
        <v>88157.738663811208</v>
      </c>
      <c r="H30" s="51">
        <f>+H26+H27+H28+H29</f>
        <v>14126</v>
      </c>
      <c r="I30" s="52">
        <f t="shared" si="14"/>
        <v>102283.73866381121</v>
      </c>
      <c r="J30" s="51">
        <f>+J26+J27+J28+J29</f>
        <v>88157.738663811208</v>
      </c>
      <c r="K30" s="51">
        <f>+K26+K27+K28+K29</f>
        <v>14126</v>
      </c>
      <c r="L30" s="52">
        <f t="shared" si="15"/>
        <v>102283.73866381121</v>
      </c>
      <c r="M30" s="51">
        <f>+M26+M27+M28+M29</f>
        <v>88157.738663811208</v>
      </c>
      <c r="N30" s="51">
        <f>+N26+N27+N28+N29</f>
        <v>14126</v>
      </c>
      <c r="O30" s="52">
        <f t="shared" si="16"/>
        <v>102283.73866381121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41005.232255573486</v>
      </c>
      <c r="E31" s="53">
        <v>0</v>
      </c>
      <c r="F31" s="48">
        <f t="shared" si="13"/>
        <v>41005.232255573486</v>
      </c>
      <c r="G31" s="147">
        <f>VLOOKUP($A$1,REM_ToolEnrico!$B$5:$J$38,4,FALSE)</f>
        <v>40356.893852041903</v>
      </c>
      <c r="H31" s="53">
        <v>0</v>
      </c>
      <c r="I31" s="48">
        <f t="shared" si="14"/>
        <v>40356.893852041903</v>
      </c>
      <c r="J31" s="147">
        <f>VLOOKUP($A$1,REM_ToolEnrico!$B$5:$J$38,6,FALSE)</f>
        <v>34441.110214472828</v>
      </c>
      <c r="K31" s="53">
        <v>0</v>
      </c>
      <c r="L31" s="48">
        <f t="shared" si="15"/>
        <v>34441.110214472828</v>
      </c>
      <c r="M31" s="147">
        <f>VLOOKUP($A$1,REM_ToolEnrico!$B$5:$J$38,8,FALSE)</f>
        <v>36531.52289106878</v>
      </c>
      <c r="N31" s="53">
        <v>0</v>
      </c>
      <c r="O31" s="48">
        <f t="shared" si="16"/>
        <v>36531.52289106878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121999.99999999999</v>
      </c>
      <c r="F32" s="48">
        <f t="shared" si="13"/>
        <v>121999.99999999999</v>
      </c>
      <c r="G32" s="54">
        <f>+G33+G34+G35+G36</f>
        <v>0</v>
      </c>
      <c r="H32" s="54">
        <f>+H33+H34+H35+H36</f>
        <v>122244</v>
      </c>
      <c r="I32" s="48">
        <f t="shared" si="14"/>
        <v>122244</v>
      </c>
      <c r="J32" s="54">
        <f>+J33+J34+J35+J36</f>
        <v>0</v>
      </c>
      <c r="K32" s="54">
        <f>+K33+K34+K35+K36</f>
        <v>122244</v>
      </c>
      <c r="L32" s="48">
        <f t="shared" si="15"/>
        <v>122244</v>
      </c>
      <c r="M32" s="54">
        <f>+M33+M34+M35+M36</f>
        <v>0</v>
      </c>
      <c r="N32" s="54">
        <f>+N33+N34+N35+N36</f>
        <v>122244</v>
      </c>
      <c r="O32" s="48">
        <f t="shared" si="16"/>
        <v>122244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121999.99999999999</v>
      </c>
      <c r="F34" s="48">
        <f>D34+E34</f>
        <v>121999.99999999999</v>
      </c>
      <c r="G34" s="47">
        <v>0</v>
      </c>
      <c r="H34" s="47">
        <v>122244</v>
      </c>
      <c r="I34" s="48">
        <f>G34+H34</f>
        <v>122244</v>
      </c>
      <c r="J34" s="47">
        <v>0</v>
      </c>
      <c r="K34" s="158">
        <v>122244</v>
      </c>
      <c r="L34" s="48">
        <f t="shared" si="15"/>
        <v>122244</v>
      </c>
      <c r="M34" s="47">
        <v>0</v>
      </c>
      <c r="N34" s="158">
        <v>122244</v>
      </c>
      <c r="O34" s="48">
        <f t="shared" si="16"/>
        <v>122244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21209.713724040121</v>
      </c>
      <c r="E37" s="47">
        <v>0</v>
      </c>
      <c r="F37" s="48">
        <f t="shared" si="13"/>
        <v>21209.713724040121</v>
      </c>
      <c r="G37" s="147">
        <f>VLOOKUP($A$1,REM_ToolEnrico!$B$5:$J$38,5,FALSE)</f>
        <v>18850.923065676569</v>
      </c>
      <c r="H37" s="47">
        <v>0</v>
      </c>
      <c r="I37" s="48">
        <f t="shared" si="17"/>
        <v>18850.923065676569</v>
      </c>
      <c r="J37" s="147">
        <f>VLOOKUP($A$1,REM_ToolEnrico!$B$5:$J$38,7,FALSE)</f>
        <v>17730.573727808511</v>
      </c>
      <c r="K37" s="47">
        <v>0</v>
      </c>
      <c r="L37" s="48">
        <f t="shared" si="15"/>
        <v>17730.573727808511</v>
      </c>
      <c r="M37" s="147">
        <f>VLOOKUP($A$1,REM_ToolEnrico!$B$5:$J$38,9,FALSE)</f>
        <v>17589.307784960332</v>
      </c>
      <c r="N37" s="47">
        <v>0</v>
      </c>
      <c r="O37" s="48">
        <f t="shared" si="16"/>
        <v>17589.307784960332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112.9254728502128</v>
      </c>
      <c r="E38" s="47">
        <v>0</v>
      </c>
      <c r="F38" s="48">
        <f t="shared" si="13"/>
        <v>112.9254728502128</v>
      </c>
      <c r="G38" s="47">
        <v>113.15132379591323</v>
      </c>
      <c r="H38" s="47">
        <v>0</v>
      </c>
      <c r="I38" s="48">
        <f t="shared" si="17"/>
        <v>113.15132379591323</v>
      </c>
      <c r="J38" s="47">
        <v>113.15132379591323</v>
      </c>
      <c r="K38" s="47">
        <v>0</v>
      </c>
      <c r="L38" s="48">
        <f t="shared" si="15"/>
        <v>113.15132379591323</v>
      </c>
      <c r="M38" s="47">
        <v>113.15132379591323</v>
      </c>
      <c r="N38" s="47">
        <v>0</v>
      </c>
      <c r="O38" s="48">
        <f t="shared" si="16"/>
        <v>113.15132379591323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62327.87145246382</v>
      </c>
      <c r="E40" s="51">
        <f>E38+E37+E32+E31+E39</f>
        <v>121999.99999999999</v>
      </c>
      <c r="F40" s="52">
        <f t="shared" si="13"/>
        <v>184327.87145246379</v>
      </c>
      <c r="G40" s="51">
        <f>G38+G37+G32+G31+G39</f>
        <v>59320.968241514383</v>
      </c>
      <c r="H40" s="51">
        <f>H38+H37+H32+H31+H39</f>
        <v>122244</v>
      </c>
      <c r="I40" s="52">
        <f t="shared" si="17"/>
        <v>181564.96824151438</v>
      </c>
      <c r="J40" s="51">
        <f>J38+J37+J32+J31+J39</f>
        <v>52284.835266077251</v>
      </c>
      <c r="K40" s="51">
        <f>K38+K37+K32+K31+K39</f>
        <v>122244</v>
      </c>
      <c r="L40" s="52">
        <f t="shared" si="15"/>
        <v>174528.83526607725</v>
      </c>
      <c r="M40" s="51">
        <f>M38+M37+M32+M31+M39</f>
        <v>54233.981999825024</v>
      </c>
      <c r="N40" s="51">
        <f>N38+N37+N32+N31+N39</f>
        <v>122244</v>
      </c>
      <c r="O40" s="52">
        <f t="shared" si="16"/>
        <v>176477.98199982502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4598.0300905529557</v>
      </c>
      <c r="E42" s="22">
        <v>0</v>
      </c>
      <c r="F42" s="36">
        <f t="shared" si="13"/>
        <v>4598.0300905529557</v>
      </c>
      <c r="G42" s="22">
        <v>8663.8123249647342</v>
      </c>
      <c r="H42" s="22">
        <v>0</v>
      </c>
      <c r="I42" s="36">
        <f t="shared" si="17"/>
        <v>8663.8123249647342</v>
      </c>
      <c r="J42" s="22">
        <v>8663.8123249647342</v>
      </c>
      <c r="K42" s="22">
        <v>0</v>
      </c>
      <c r="L42" s="36">
        <f t="shared" si="15"/>
        <v>8663.8123249647342</v>
      </c>
      <c r="M42" s="22">
        <v>8663.8123249647342</v>
      </c>
      <c r="N42" s="22">
        <v>0</v>
      </c>
      <c r="O42" s="36">
        <f t="shared" si="16"/>
        <v>8663.8123249647342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-2703.3717903771385</v>
      </c>
      <c r="F44" s="36">
        <f t="shared" si="13"/>
        <v>-2703.3717903771385</v>
      </c>
      <c r="G44" s="57">
        <v>-18702.824993477807</v>
      </c>
      <c r="H44" s="57">
        <v>-2703.3717903771385</v>
      </c>
      <c r="I44" s="36">
        <f t="shared" si="17"/>
        <v>-21406.196783854946</v>
      </c>
      <c r="J44" s="57">
        <v>-22464.440000000002</v>
      </c>
      <c r="K44" s="57">
        <v>-5871.2607817500002</v>
      </c>
      <c r="L44" s="36">
        <f t="shared" si="15"/>
        <v>-28335.700781750002</v>
      </c>
      <c r="M44" s="57">
        <v>-5000</v>
      </c>
      <c r="N44" s="57">
        <v>0</v>
      </c>
      <c r="O44" s="36">
        <f>M44+N44</f>
        <v>-5000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25879.124335547807</v>
      </c>
      <c r="F45" s="36">
        <f>E45</f>
        <v>25879.124335547807</v>
      </c>
      <c r="G45" s="34"/>
      <c r="H45" s="22">
        <f>G47*0.1</f>
        <v>24899.32002487902</v>
      </c>
      <c r="I45" s="36">
        <f>H45</f>
        <v>24899.32002487902</v>
      </c>
      <c r="J45" s="34"/>
      <c r="K45" s="22">
        <f>J47*0.1</f>
        <v>23819.545226683083</v>
      </c>
      <c r="L45" s="36">
        <f>K45</f>
        <v>23819.545226683083</v>
      </c>
      <c r="M45" s="34"/>
      <c r="N45" s="22">
        <f>M47*0.1</f>
        <v>25760.903900057863</v>
      </c>
      <c r="O45" s="36">
        <f>N45</f>
        <v>25760.903900057863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258791.24335547807</v>
      </c>
      <c r="E47" s="59">
        <f>E25+E30+E40+E41+E42+E43+E44+E45</f>
        <v>195705.75254517066</v>
      </c>
      <c r="F47" s="60">
        <f>D47+E47</f>
        <v>454496.99590064876</v>
      </c>
      <c r="G47" s="59">
        <f>G25+G30+G40+G41+G42+G43+G44+G46</f>
        <v>248993.20024879018</v>
      </c>
      <c r="H47" s="59">
        <f>H25+H30+H40+H41+H42+H43+H44+H45+H46</f>
        <v>200179.94823450188</v>
      </c>
      <c r="I47" s="60">
        <f>G47+H47</f>
        <v>449173.14848329208</v>
      </c>
      <c r="J47" s="59">
        <f>J25+J30+J40+J41+J42+J43+J44+J46</f>
        <v>238195.45226683083</v>
      </c>
      <c r="K47" s="59">
        <f>K25+K30+K40+K41+K42+K43+K44+K45+K46</f>
        <v>195932.28444493309</v>
      </c>
      <c r="L47" s="60">
        <f>J47+K47</f>
        <v>434127.73671176389</v>
      </c>
      <c r="M47" s="59">
        <f>M25+M30+M40+M41+M42+M43+M44+M46</f>
        <v>257609.03900057863</v>
      </c>
      <c r="N47" s="59">
        <f>N25+N30+N40+N41+N42+N43+N44+N45+N46</f>
        <v>203744.90390005786</v>
      </c>
      <c r="O47" s="60">
        <f>M47+N47</f>
        <v>461353.94290063647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782610.60381305846</v>
      </c>
      <c r="E49" s="65">
        <v>214161.14659092866</v>
      </c>
      <c r="F49" s="65">
        <f>D49+E49</f>
        <v>996771.75040398713</v>
      </c>
      <c r="G49" s="65">
        <f>G50</f>
        <v>766664.76127143227</v>
      </c>
      <c r="H49" s="65">
        <v>214803.35433676609</v>
      </c>
      <c r="I49" s="65">
        <f t="shared" ref="I49" si="21">G49+H49</f>
        <v>981468.11560819834</v>
      </c>
      <c r="J49" s="65">
        <f>J50</f>
        <v>755867.01328947302</v>
      </c>
      <c r="K49" s="65">
        <v>211635.46534539323</v>
      </c>
      <c r="L49" s="65">
        <f t="shared" ref="L49" si="22">J49+K49</f>
        <v>967502.47863486619</v>
      </c>
      <c r="M49" s="65">
        <f>M50</f>
        <v>770280.60002322076</v>
      </c>
      <c r="N49" s="65">
        <v>217506.72612714322</v>
      </c>
      <c r="O49" s="65">
        <f t="shared" ref="O49" si="23">M49+N49</f>
        <v>987787.32615036401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782610.60381305846</v>
      </c>
      <c r="E50" s="59">
        <f t="shared" si="24"/>
        <v>248087.68859092871</v>
      </c>
      <c r="F50" s="59">
        <f t="shared" si="24"/>
        <v>1030698.2924039871</v>
      </c>
      <c r="G50" s="59">
        <f>+G23+G47</f>
        <v>766664.76127143227</v>
      </c>
      <c r="H50" s="59">
        <f t="shared" si="24"/>
        <v>251947.10433676609</v>
      </c>
      <c r="I50" s="59">
        <f t="shared" si="24"/>
        <v>1018611.8656081985</v>
      </c>
      <c r="J50" s="59">
        <f t="shared" si="24"/>
        <v>755867.01328947302</v>
      </c>
      <c r="K50" s="59">
        <f>+K23+K47</f>
        <v>247699.4405471973</v>
      </c>
      <c r="L50" s="59">
        <f t="shared" si="24"/>
        <v>1003566.4538366703</v>
      </c>
      <c r="M50" s="59">
        <f>+M23+M47</f>
        <v>770280.60002322076</v>
      </c>
      <c r="N50" s="59">
        <f t="shared" si="24"/>
        <v>255012.06000232208</v>
      </c>
      <c r="O50" s="59">
        <f t="shared" si="24"/>
        <v>1025292.6600255428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34017.664779462735</v>
      </c>
      <c r="E51" s="68">
        <f>E44+E20</f>
        <v>-2703.3717903771385</v>
      </c>
      <c r="F51" s="146"/>
      <c r="G51" s="68">
        <f>G44+G20</f>
        <v>-18702.824993477807</v>
      </c>
      <c r="H51" s="68">
        <f>H44+H20</f>
        <v>-2703.3717903771385</v>
      </c>
      <c r="I51" s="146"/>
      <c r="J51" s="68">
        <f>J44+J20</f>
        <v>-22464.440000000002</v>
      </c>
      <c r="K51" s="68">
        <f>K44+K20</f>
        <v>-5871.2607817500002</v>
      </c>
      <c r="L51" s="146"/>
      <c r="M51" s="68">
        <f>M44+M20</f>
        <v>-10000</v>
      </c>
      <c r="N51" s="68">
        <f>N44+N20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0.78680000000000005</v>
      </c>
      <c r="G53" s="72"/>
      <c r="H53" s="73"/>
      <c r="I53" s="74">
        <v>0.78680000000000005</v>
      </c>
      <c r="J53" s="72"/>
      <c r="K53" s="73"/>
      <c r="L53" s="74">
        <v>0.78680000000000005</v>
      </c>
      <c r="M53" s="72"/>
      <c r="N53" s="73"/>
      <c r="O53" s="74">
        <v>0.78680000000000005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4372.1419999999998</v>
      </c>
      <c r="G54" s="34"/>
      <c r="H54" s="76"/>
      <c r="I54" s="77">
        <v>4372.1419999999998</v>
      </c>
      <c r="J54" s="34"/>
      <c r="K54" s="76"/>
      <c r="L54" s="77">
        <v>4372.1419999999998</v>
      </c>
      <c r="M54" s="34"/>
      <c r="N54" s="76"/>
      <c r="O54" s="77">
        <v>4372.1419999999998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24.44359475985237</v>
      </c>
      <c r="G55" s="34"/>
      <c r="H55" s="76"/>
      <c r="I55" s="78">
        <v>23.993174215006018</v>
      </c>
      <c r="J55" s="34"/>
      <c r="K55" s="76"/>
      <c r="L55" s="78">
        <v>22.768895117971766</v>
      </c>
      <c r="M55" s="34"/>
      <c r="N55" s="76"/>
      <c r="O55" s="78">
        <v>22.380900048856784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30.869631924477513</v>
      </c>
      <c r="G56" s="81"/>
      <c r="H56" s="82"/>
      <c r="I56" s="78">
        <v>30.869631924477513</v>
      </c>
      <c r="J56" s="81"/>
      <c r="K56" s="82"/>
      <c r="L56" s="78">
        <v>30.869631924477513</v>
      </c>
      <c r="M56" s="81"/>
      <c r="N56" s="82"/>
      <c r="O56" s="78">
        <v>30.869631924477513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-6.5000000000000002E-2</v>
      </c>
      <c r="G59" s="87"/>
      <c r="H59" s="73"/>
      <c r="I59" s="86">
        <v>-6.5000000000000002E-2</v>
      </c>
      <c r="J59" s="72"/>
      <c r="K59" s="73"/>
      <c r="L59" s="88">
        <v>-6.5000000000000002E-2</v>
      </c>
      <c r="M59" s="72"/>
      <c r="N59" s="73"/>
      <c r="O59" s="88">
        <v>-6.5000000000000002E-2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-5.3321066090588398E-2</v>
      </c>
      <c r="G60" s="90"/>
      <c r="H60" s="76"/>
      <c r="I60" s="89">
        <v>-5.3321066090588398E-2</v>
      </c>
      <c r="J60" s="34"/>
      <c r="K60" s="91"/>
      <c r="L60" s="89">
        <v>-5.3321066090588398E-2</v>
      </c>
      <c r="M60" s="34"/>
      <c r="N60" s="76"/>
      <c r="O60" s="89">
        <v>-5.3321066090588398E-2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-0.1183210660905884</v>
      </c>
      <c r="G61" s="90"/>
      <c r="H61" s="76"/>
      <c r="I61" s="92">
        <v>-0.1183210660905884</v>
      </c>
      <c r="J61" s="34"/>
      <c r="K61" s="76"/>
      <c r="L61" s="93">
        <v>-0.1183210660905884</v>
      </c>
      <c r="M61" s="34"/>
      <c r="N61" s="76"/>
      <c r="O61" s="92">
        <v>-0.1183210660905884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0.88167893390941154</v>
      </c>
      <c r="G62" s="95"/>
      <c r="H62" s="82"/>
      <c r="I62" s="94">
        <v>0.88167893390941154</v>
      </c>
      <c r="J62" s="81"/>
      <c r="K62" s="82"/>
      <c r="L62" s="94">
        <v>0.88167893390941154</v>
      </c>
      <c r="M62" s="81"/>
      <c r="N62" s="82"/>
      <c r="O62" s="94">
        <v>0.88167893390941154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1.00000001E-3</v>
      </c>
      <c r="G66" s="34"/>
      <c r="H66" s="76"/>
      <c r="I66" s="104">
        <v>1.00000001E-3</v>
      </c>
      <c r="J66" s="34"/>
      <c r="K66" s="76"/>
      <c r="L66" s="104">
        <v>1.00000001E-3</v>
      </c>
      <c r="M66" s="34"/>
      <c r="N66" s="76"/>
      <c r="O66" s="104">
        <v>1.00000001E-3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6.5999999990000002E-2</v>
      </c>
      <c r="G70" s="34"/>
      <c r="H70" s="76"/>
      <c r="I70" s="105">
        <v>6.5999999990000002E-2</v>
      </c>
      <c r="J70" s="34"/>
      <c r="K70" s="76"/>
      <c r="L70" s="105">
        <v>6.5999999990000002E-2</v>
      </c>
      <c r="M70" s="34"/>
      <c r="N70" s="76"/>
      <c r="O70" s="105">
        <v>6.5999999990000002E-2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1.0659999999900001</v>
      </c>
      <c r="G71" s="34"/>
      <c r="H71" s="76"/>
      <c r="I71" s="106">
        <v>1.0659999999900001</v>
      </c>
      <c r="J71" s="34"/>
      <c r="K71" s="76"/>
      <c r="L71" s="106">
        <v>1.0659999999900001</v>
      </c>
      <c r="M71" s="34"/>
      <c r="N71" s="76"/>
      <c r="O71" s="106">
        <v>1.0659999999900001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1030698.2924039871</v>
      </c>
      <c r="G72" s="34"/>
      <c r="H72" s="76"/>
      <c r="I72" s="108">
        <f>I50</f>
        <v>1018611.8656081985</v>
      </c>
      <c r="J72" s="34"/>
      <c r="K72" s="76"/>
      <c r="L72" s="108">
        <f>L50</f>
        <v>1003566.4538366703</v>
      </c>
      <c r="M72" s="34"/>
      <c r="N72" s="76"/>
      <c r="O72" s="108">
        <f>O50</f>
        <v>1025292.6600255428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717762.79559400945</v>
      </c>
      <c r="G73" s="34"/>
      <c r="H73" s="76"/>
      <c r="I73" s="110">
        <f>F81</f>
        <v>576201.29650333838</v>
      </c>
      <c r="J73" s="34"/>
      <c r="K73" s="76"/>
      <c r="L73" s="110">
        <f>I81</f>
        <v>569438.71712490637</v>
      </c>
      <c r="M73" s="34"/>
      <c r="N73" s="76"/>
      <c r="O73" s="110">
        <f>L81</f>
        <v>569438.71712490637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331252.85139343899</v>
      </c>
      <c r="G74" s="34"/>
      <c r="H74" s="76"/>
      <c r="I74" s="110">
        <f>F82</f>
        <v>454496.99590064876</v>
      </c>
      <c r="J74" s="34"/>
      <c r="K74" s="76"/>
      <c r="L74" s="110">
        <f>I82</f>
        <v>449173.14848329203</v>
      </c>
      <c r="M74" s="34"/>
      <c r="N74" s="76"/>
      <c r="O74" s="110">
        <f>L82</f>
        <v>434127.73671176401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1049015.6469874484</v>
      </c>
      <c r="G75" s="34"/>
      <c r="H75" s="76"/>
      <c r="I75" s="111">
        <f>SUM(I73:I74)</f>
        <v>1030698.2924039871</v>
      </c>
      <c r="J75" s="34"/>
      <c r="K75" s="76"/>
      <c r="L75" s="111">
        <f>SUM(L73:L74)</f>
        <v>1018611.8656081983</v>
      </c>
      <c r="M75" s="34"/>
      <c r="N75" s="76"/>
      <c r="O75" s="111">
        <f>SUM(O73:O74)</f>
        <v>1003566.4538366704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0.98253853063482433</v>
      </c>
      <c r="G76" s="81"/>
      <c r="H76" s="82"/>
      <c r="I76" s="112">
        <f>I72/I75</f>
        <v>0.98827355504043912</v>
      </c>
      <c r="J76" s="81"/>
      <c r="K76" s="82"/>
      <c r="L76" s="112">
        <f>L72/L75</f>
        <v>0.98522949488464417</v>
      </c>
      <c r="M76" s="81"/>
      <c r="N76" s="82"/>
      <c r="O76" s="112">
        <f>O72/O75</f>
        <v>1.0216489960438717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1030698.2924039871</v>
      </c>
      <c r="G78" s="73"/>
      <c r="H78" s="73"/>
      <c r="I78" s="115">
        <f>IF(I72&lt;=I75*I71,I72,I75*I71)</f>
        <v>1018611.8656081985</v>
      </c>
      <c r="J78" s="73"/>
      <c r="K78" s="73"/>
      <c r="L78" s="115">
        <f>IF(L72&lt;=L75*L71,L72,L75*L71)</f>
        <v>1003566.4538366703</v>
      </c>
      <c r="M78" s="73"/>
      <c r="N78" s="73"/>
      <c r="O78" s="115">
        <f>IF(O72&lt;=O75*O71,O72,O75*O71)</f>
        <v>1025292.6600255428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523819.36045758036</v>
      </c>
      <c r="E81" s="120">
        <f>E23</f>
        <v>52381.936045758041</v>
      </c>
      <c r="F81" s="115">
        <f>D81+E81</f>
        <v>576201.29650333838</v>
      </c>
      <c r="G81" s="119">
        <f>G23-I79</f>
        <v>517671.56102264213</v>
      </c>
      <c r="H81" s="120">
        <f>H23</f>
        <v>51767.156102264213</v>
      </c>
      <c r="I81" s="115">
        <f>G81+H81</f>
        <v>569438.71712490637</v>
      </c>
      <c r="J81" s="119">
        <f>J23-L79</f>
        <v>517671.56102264213</v>
      </c>
      <c r="K81" s="120">
        <f>K23</f>
        <v>51767.156102264213</v>
      </c>
      <c r="L81" s="115">
        <f>J81+K81</f>
        <v>569438.71712490637</v>
      </c>
      <c r="M81" s="119">
        <f>M23-O79</f>
        <v>512671.56102264213</v>
      </c>
      <c r="N81" s="120">
        <f>N23</f>
        <v>51267.156102264213</v>
      </c>
      <c r="O81" s="115">
        <f>M81+N81</f>
        <v>563938.71712490637</v>
      </c>
    </row>
    <row r="82" spans="1:52" s="14" customFormat="1" ht="20" customHeight="1" thickBot="1">
      <c r="B82" s="118" t="s">
        <v>72</v>
      </c>
      <c r="D82" s="121">
        <f>D50-D81-F79</f>
        <v>258791.2433554781</v>
      </c>
      <c r="E82" s="122">
        <f>E50-E81</f>
        <v>195705.75254517066</v>
      </c>
      <c r="F82" s="123">
        <f>D82+E82</f>
        <v>454496.99590064876</v>
      </c>
      <c r="G82" s="121">
        <f>G49-G81-I79</f>
        <v>248993.20024879015</v>
      </c>
      <c r="H82" s="122">
        <f>H50-H81</f>
        <v>200179.94823450188</v>
      </c>
      <c r="I82" s="123">
        <f>G82+H82</f>
        <v>449173.14848329203</v>
      </c>
      <c r="J82" s="121">
        <f>J50-J81-L79</f>
        <v>238195.45226683089</v>
      </c>
      <c r="K82" s="122">
        <f>K50-K81</f>
        <v>195932.28444493309</v>
      </c>
      <c r="L82" s="123">
        <f>J82+K82</f>
        <v>434127.73671176401</v>
      </c>
      <c r="M82" s="121">
        <f>M49-M81-O79</f>
        <v>257609.03900057863</v>
      </c>
      <c r="N82" s="122">
        <f>N50-N81</f>
        <v>203744.90390005786</v>
      </c>
      <c r="O82" s="123">
        <f>M82+N82</f>
        <v>461353.94290063647</v>
      </c>
    </row>
    <row r="83" spans="1:52" s="124" customFormat="1" ht="17.25" customHeight="1" thickBot="1">
      <c r="B83" s="125" t="s">
        <v>73</v>
      </c>
      <c r="C83" s="14"/>
      <c r="D83" s="126">
        <f>SUM(D81:D82)</f>
        <v>782610.60381305846</v>
      </c>
      <c r="E83" s="127">
        <f t="shared" ref="E83:O83" si="25">SUM(E81:E82)</f>
        <v>248087.68859092871</v>
      </c>
      <c r="F83" s="128">
        <f t="shared" si="25"/>
        <v>1030698.2924039871</v>
      </c>
      <c r="G83" s="126">
        <f t="shared" si="25"/>
        <v>766664.76127143227</v>
      </c>
      <c r="H83" s="127">
        <f t="shared" si="25"/>
        <v>251947.10433676609</v>
      </c>
      <c r="I83" s="128">
        <f t="shared" si="25"/>
        <v>1018611.8656081983</v>
      </c>
      <c r="J83" s="126">
        <f t="shared" si="25"/>
        <v>755867.01328947302</v>
      </c>
      <c r="K83" s="127">
        <f t="shared" si="25"/>
        <v>247699.4405471973</v>
      </c>
      <c r="L83" s="128">
        <f t="shared" si="25"/>
        <v>1003566.4538366704</v>
      </c>
      <c r="M83" s="126">
        <f t="shared" si="25"/>
        <v>770280.60002322076</v>
      </c>
      <c r="N83" s="127">
        <f t="shared" si="25"/>
        <v>255012.06000232208</v>
      </c>
      <c r="O83" s="128">
        <f t="shared" si="25"/>
        <v>1025292.6600255428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/>
      <c r="G85" s="73"/>
      <c r="H85" s="73"/>
      <c r="I85" s="131"/>
      <c r="J85" s="73"/>
      <c r="K85" s="73"/>
      <c r="L85" s="131"/>
      <c r="M85" s="73"/>
      <c r="N85" s="73"/>
      <c r="O85" s="131"/>
    </row>
    <row r="86" spans="1:52" s="14" customFormat="1" ht="20" customHeight="1" thickBot="1">
      <c r="B86" s="130" t="s">
        <v>75</v>
      </c>
      <c r="D86" s="81"/>
      <c r="E86" s="82"/>
      <c r="F86" s="132"/>
      <c r="G86" s="82"/>
      <c r="H86" s="82"/>
      <c r="I86" s="132"/>
      <c r="J86" s="82"/>
      <c r="K86" s="82"/>
      <c r="L86" s="132"/>
      <c r="M86" s="82"/>
      <c r="N86" s="82"/>
      <c r="O86" s="132"/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576201.29650333838</v>
      </c>
      <c r="G88" s="72"/>
      <c r="H88" s="73"/>
      <c r="I88" s="136">
        <f>I81-I85</f>
        <v>569438.71712490637</v>
      </c>
      <c r="J88" s="72"/>
      <c r="K88" s="73"/>
      <c r="L88" s="136">
        <f>L81-L85</f>
        <v>569438.71712490637</v>
      </c>
      <c r="M88" s="72"/>
      <c r="N88" s="73"/>
      <c r="O88" s="136">
        <f>O81-O85</f>
        <v>563938.71712490637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454496.99590064876</v>
      </c>
      <c r="G89" s="34"/>
      <c r="H89" s="76"/>
      <c r="I89" s="138">
        <f>I82-I86</f>
        <v>449173.14848329203</v>
      </c>
      <c r="J89" s="34"/>
      <c r="K89" s="76"/>
      <c r="L89" s="138">
        <f>L82-L86</f>
        <v>434127.73671176401</v>
      </c>
      <c r="M89" s="34"/>
      <c r="N89" s="76"/>
      <c r="O89" s="138">
        <f>O82-O86</f>
        <v>461353.94290063647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1030698.2924039871</v>
      </c>
      <c r="G90" s="81"/>
      <c r="H90" s="82"/>
      <c r="I90" s="139">
        <f>+I88+I89</f>
        <v>1018611.8656081983</v>
      </c>
      <c r="J90" s="81"/>
      <c r="K90" s="82"/>
      <c r="L90" s="139">
        <f>+L88+L89</f>
        <v>1003566.4538366704</v>
      </c>
      <c r="M90" s="81"/>
      <c r="N90" s="82"/>
      <c r="O90" s="139">
        <f>+O88+O89</f>
        <v>1025292.6600255428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-63.107244495020495</v>
      </c>
      <c r="E92" s="143">
        <v>0</v>
      </c>
      <c r="F92" s="144">
        <f>D92+E92</f>
        <v>-63.107244495020495</v>
      </c>
      <c r="G92" s="142">
        <v>-2991.6537628218525</v>
      </c>
      <c r="H92" s="143">
        <v>0</v>
      </c>
      <c r="I92" s="144">
        <f>G92+H92</f>
        <v>-2991.6537628218525</v>
      </c>
      <c r="J92" s="142">
        <v>-2991.6537628218525</v>
      </c>
      <c r="K92" s="143">
        <v>0</v>
      </c>
      <c r="L92" s="144">
        <f>J92+K92</f>
        <v>-2991.6537628218525</v>
      </c>
      <c r="M92" s="142">
        <v>-2991.6537628218525</v>
      </c>
      <c r="N92" s="143">
        <v>0</v>
      </c>
      <c r="O92" s="144">
        <f>M92+N92</f>
        <v>-2991.6537628218525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891406.54328361631</v>
      </c>
      <c r="E96" s="166">
        <f>E6+E7+E8+E9+E11+E25+E30+E40+E42+E21+E45</f>
        <v>250791.06038130587</v>
      </c>
      <c r="F96" s="166">
        <f t="shared" ref="F96" si="26">F6+F7+F8+F9+F11+F25+F30+F40+F42</f>
        <v>1063936.5432836164</v>
      </c>
      <c r="G96" s="166">
        <f t="shared" ref="G96" si="27">G6+G7+G8+G9+G11+G25+G30+G40+G42+G21+G45</f>
        <v>928038.51958161406</v>
      </c>
      <c r="H96" s="166">
        <f t="shared" ref="H96" si="28">H6+H7+H8+H9+H11+H25+H30+H40+H42</f>
        <v>177984</v>
      </c>
      <c r="I96" s="166">
        <f t="shared" ref="I96" si="29">I6+I7+I8+I9+I11+I25+I30+I40+I42+I21+I45</f>
        <v>1182688.9957087571</v>
      </c>
      <c r="J96" s="166">
        <f t="shared" ref="J96" si="30">J6+J7+J8+J9+J11+J25+J30+J40+J42</f>
        <v>921002.38660617697</v>
      </c>
      <c r="K96" s="166">
        <f t="shared" ref="K96" si="31">K6+K7+K8+K9+K11+K25+K30+K40+K42+K21+K45</f>
        <v>253570.7013289473</v>
      </c>
      <c r="L96" s="166">
        <f t="shared" ref="L96" si="32">L6+L7+L8+L9+L11+L25+L30+L40+L42</f>
        <v>1098986.3866061766</v>
      </c>
      <c r="M96" s="166">
        <f t="shared" ref="M96" si="33">M6+M7+M8+M9+M11+M25+M30+M40+M42+M21+M45</f>
        <v>922951.53333992464</v>
      </c>
      <c r="N96" s="166">
        <f t="shared" ref="N96" si="34">N6+N7+N8+N9+N11+N25+N30+N40+N42</f>
        <v>177984</v>
      </c>
      <c r="O96" s="166">
        <f t="shared" ref="O96" si="35">O6+O7+O8+O9+O11+O25+O30+O40+O42+O21+O45</f>
        <v>1177963.5933422465</v>
      </c>
    </row>
    <row r="97" spans="4:15" s="14" customFormat="1">
      <c r="D97" s="166">
        <f>D96-D15-D19</f>
        <v>748592.93903359585</v>
      </c>
      <c r="E97" s="166">
        <f>E96-E15-E19</f>
        <v>250791.06038130587</v>
      </c>
      <c r="F97" s="166">
        <f t="shared" ref="F97:O97" si="36">F96-F15-F19</f>
        <v>921122.93903359585</v>
      </c>
      <c r="G97" s="166">
        <f t="shared" si="36"/>
        <v>785367.58626491018</v>
      </c>
      <c r="H97" s="166">
        <f t="shared" si="36"/>
        <v>177984</v>
      </c>
      <c r="I97" s="166">
        <f t="shared" si="36"/>
        <v>1040018.0623920532</v>
      </c>
      <c r="J97" s="166">
        <f t="shared" si="36"/>
        <v>778331.4532894732</v>
      </c>
      <c r="K97" s="166">
        <f t="shared" si="36"/>
        <v>253570.7013289473</v>
      </c>
      <c r="L97" s="166">
        <f t="shared" si="36"/>
        <v>956315.45328947273</v>
      </c>
      <c r="M97" s="166">
        <f t="shared" si="36"/>
        <v>780280.60002322076</v>
      </c>
      <c r="N97" s="166">
        <f t="shared" si="36"/>
        <v>177984</v>
      </c>
      <c r="O97" s="166">
        <f t="shared" si="36"/>
        <v>1035292.6600255426</v>
      </c>
    </row>
    <row r="98" spans="4:15" s="14" customFormat="1">
      <c r="D98" s="166">
        <f>D20+D44</f>
        <v>34017.664779462735</v>
      </c>
      <c r="E98" s="166">
        <f>E20+E44</f>
        <v>-2703.3717903771385</v>
      </c>
      <c r="F98" s="166">
        <f t="shared" ref="F98:O98" si="37">F20+F44</f>
        <v>31314.292989085596</v>
      </c>
      <c r="G98" s="166">
        <f t="shared" si="37"/>
        <v>-18702.824993477807</v>
      </c>
      <c r="H98" s="166">
        <f t="shared" si="37"/>
        <v>-2703.3717903771385</v>
      </c>
      <c r="I98" s="166">
        <f t="shared" si="37"/>
        <v>-21406.196783854946</v>
      </c>
      <c r="J98" s="166">
        <f t="shared" si="37"/>
        <v>-22464.440000000002</v>
      </c>
      <c r="K98" s="166">
        <f t="shared" si="37"/>
        <v>-5871.2607817500002</v>
      </c>
      <c r="L98" s="166">
        <f t="shared" si="37"/>
        <v>-28335.700781750002</v>
      </c>
      <c r="M98" s="166">
        <f t="shared" si="37"/>
        <v>-10000</v>
      </c>
      <c r="N98" s="166">
        <f t="shared" si="37"/>
        <v>0</v>
      </c>
      <c r="O98" s="166">
        <f t="shared" si="37"/>
        <v>-10000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96" priority="7" operator="containsText" text="ERRORE">
      <formula>NOT(ISERROR(SEARCH("ERRORE",F81)))</formula>
    </cfRule>
  </conditionalFormatting>
  <conditionalFormatting sqref="I83">
    <cfRule type="containsText" dxfId="95" priority="6" operator="containsText" text="ERRORE">
      <formula>NOT(ISERROR(SEARCH("ERRORE",I83)))</formula>
    </cfRule>
  </conditionalFormatting>
  <conditionalFormatting sqref="I81:I82">
    <cfRule type="containsText" dxfId="94" priority="5" operator="containsText" text="ERRORE">
      <formula>NOT(ISERROR(SEARCH("ERRORE",I81)))</formula>
    </cfRule>
  </conditionalFormatting>
  <conditionalFormatting sqref="L83">
    <cfRule type="containsText" dxfId="93" priority="4" operator="containsText" text="ERRORE">
      <formula>NOT(ISERROR(SEARCH("ERRORE",L83)))</formula>
    </cfRule>
  </conditionalFormatting>
  <conditionalFormatting sqref="L81:L82">
    <cfRule type="containsText" dxfId="92" priority="3" operator="containsText" text="ERRORE">
      <formula>NOT(ISERROR(SEARCH("ERRORE",L81)))</formula>
    </cfRule>
  </conditionalFormatting>
  <conditionalFormatting sqref="O83">
    <cfRule type="containsText" dxfId="91" priority="2" operator="containsText" text="ERRORE">
      <formula>NOT(ISERROR(SEARCH("ERRORE",O83)))</formula>
    </cfRule>
  </conditionalFormatting>
  <conditionalFormatting sqref="O81:O82">
    <cfRule type="containsText" dxfId="90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C10" zoomScale="60" zoomScaleNormal="60" zoomScalePageLayoutView="60" workbookViewId="0">
      <selection activeCell="M22" sqref="M22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105</v>
      </c>
      <c r="B1" s="2" t="str">
        <f>"       PEF 2022 - 2025"&amp;" - "&amp;A1</f>
        <v xml:space="preserve">       PEF 2022 - 2025 - Pianiga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153</v>
      </c>
      <c r="E4" s="188"/>
      <c r="F4" s="189"/>
      <c r="G4" s="187" t="str">
        <f>D4</f>
        <v>Ambito tariffario: Pianiga</v>
      </c>
      <c r="H4" s="188"/>
      <c r="I4" s="189"/>
      <c r="J4" s="187" t="str">
        <f>D4</f>
        <v>Ambito tariffario: Pianiga</v>
      </c>
      <c r="K4" s="188"/>
      <c r="L4" s="189"/>
      <c r="M4" s="187" t="str">
        <f>D4</f>
        <v>Ambito tariffario: Pianiga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209886.72870275893</v>
      </c>
      <c r="E6" s="22">
        <v>0</v>
      </c>
      <c r="F6" s="23">
        <f>D6+E6</f>
        <v>209886.72870275893</v>
      </c>
      <c r="G6" s="22">
        <v>217118.12421605363</v>
      </c>
      <c r="H6" s="22">
        <v>0</v>
      </c>
      <c r="I6" s="23">
        <f>G6+H6</f>
        <v>217118.12421605363</v>
      </c>
      <c r="J6" s="22">
        <v>217118.12421605363</v>
      </c>
      <c r="K6" s="22">
        <v>0</v>
      </c>
      <c r="L6" s="23">
        <f>J6+K6</f>
        <v>217118.12421605363</v>
      </c>
      <c r="M6" s="22">
        <v>217118.12421605363</v>
      </c>
      <c r="N6" s="22">
        <v>0</v>
      </c>
      <c r="O6" s="23">
        <f>M6+N6</f>
        <v>217118.12421605363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220026.34796515544</v>
      </c>
      <c r="E7" s="22">
        <v>0</v>
      </c>
      <c r="F7" s="23">
        <f t="shared" ref="F7:F20" si="0">D7+E7</f>
        <v>220026.34796515544</v>
      </c>
      <c r="G7" s="22">
        <v>230319.50888617625</v>
      </c>
      <c r="H7" s="22">
        <v>0</v>
      </c>
      <c r="I7" s="23">
        <f t="shared" ref="I7:I13" si="1">G7+H7</f>
        <v>230319.50888617625</v>
      </c>
      <c r="J7" s="22">
        <v>230319.50888617625</v>
      </c>
      <c r="K7" s="22">
        <v>0</v>
      </c>
      <c r="L7" s="23">
        <f t="shared" ref="L7:L12" si="2">J7+K7</f>
        <v>230319.50888617625</v>
      </c>
      <c r="M7" s="22">
        <v>230319.50888617625</v>
      </c>
      <c r="N7" s="22">
        <v>0</v>
      </c>
      <c r="O7" s="23">
        <f t="shared" ref="O7:O13" si="3">M7+N7</f>
        <v>230319.50888617625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234771.36095387774</v>
      </c>
      <c r="E8" s="22">
        <v>0</v>
      </c>
      <c r="F8" s="23">
        <f t="shared" si="0"/>
        <v>234771.36095387774</v>
      </c>
      <c r="G8" s="22">
        <v>245760.07323048956</v>
      </c>
      <c r="H8" s="22">
        <v>0</v>
      </c>
      <c r="I8" s="23">
        <f t="shared" si="1"/>
        <v>245760.07323048956</v>
      </c>
      <c r="J8" s="22">
        <v>245760.07323048956</v>
      </c>
      <c r="K8" s="22">
        <v>0</v>
      </c>
      <c r="L8" s="23">
        <f t="shared" si="2"/>
        <v>245760.07323048956</v>
      </c>
      <c r="M8" s="22">
        <v>245760.07323048956</v>
      </c>
      <c r="N8" s="22">
        <v>0</v>
      </c>
      <c r="O8" s="23">
        <f t="shared" si="3"/>
        <v>245760.07323048956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475918.48994490277</v>
      </c>
      <c r="E9" s="22">
        <v>0</v>
      </c>
      <c r="F9" s="23">
        <f t="shared" si="0"/>
        <v>475918.48994490277</v>
      </c>
      <c r="G9" s="22">
        <v>489360.23625510698</v>
      </c>
      <c r="H9" s="22">
        <v>0</v>
      </c>
      <c r="I9" s="23">
        <f t="shared" si="1"/>
        <v>489360.23625510698</v>
      </c>
      <c r="J9" s="22">
        <v>489360.23625510698</v>
      </c>
      <c r="K9" s="22">
        <v>0</v>
      </c>
      <c r="L9" s="23">
        <f t="shared" si="2"/>
        <v>489360.23625510698</v>
      </c>
      <c r="M9" s="22">
        <v>489360.23625510698</v>
      </c>
      <c r="N9" s="22">
        <v>0</v>
      </c>
      <c r="O9" s="23">
        <f t="shared" si="3"/>
        <v>489360.23625510698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5163.4110624356226</v>
      </c>
      <c r="E11" s="22">
        <v>0</v>
      </c>
      <c r="F11" s="23">
        <f t="shared" si="0"/>
        <v>5163.4110624356226</v>
      </c>
      <c r="G11" s="22">
        <v>5163.4110624356226</v>
      </c>
      <c r="H11" s="22">
        <v>0</v>
      </c>
      <c r="I11" s="23">
        <f t="shared" si="1"/>
        <v>5163.4110624356226</v>
      </c>
      <c r="J11" s="22">
        <v>5163.4110624356226</v>
      </c>
      <c r="K11" s="22">
        <v>0</v>
      </c>
      <c r="L11" s="23">
        <f t="shared" si="2"/>
        <v>5163.4110624356226</v>
      </c>
      <c r="M11" s="22">
        <v>5163.4110624356226</v>
      </c>
      <c r="N11" s="22">
        <v>0</v>
      </c>
      <c r="O11" s="23">
        <f t="shared" si="3"/>
        <v>5163.4110624356226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117839.33183036905</v>
      </c>
      <c r="E13" s="22">
        <v>0</v>
      </c>
      <c r="F13" s="23">
        <f t="shared" si="0"/>
        <v>117839.33183036905</v>
      </c>
      <c r="G13" s="22">
        <v>117721.61022014893</v>
      </c>
      <c r="H13" s="22">
        <v>0</v>
      </c>
      <c r="I13" s="23">
        <f t="shared" si="1"/>
        <v>117721.61022014893</v>
      </c>
      <c r="J13" s="22">
        <v>117721.61022014893</v>
      </c>
      <c r="K13" s="22">
        <v>0</v>
      </c>
      <c r="L13" s="23">
        <f>J13+K13</f>
        <v>117721.61022014893</v>
      </c>
      <c r="M13" s="22">
        <v>117721.61022014893</v>
      </c>
      <c r="N13" s="22">
        <v>0</v>
      </c>
      <c r="O13" s="23">
        <f t="shared" si="3"/>
        <v>117721.61022014893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70703.599098221428</v>
      </c>
      <c r="E15" s="22">
        <v>0</v>
      </c>
      <c r="F15" s="23">
        <f t="shared" si="0"/>
        <v>70703.599098221428</v>
      </c>
      <c r="G15" s="22">
        <v>70632.96613208935</v>
      </c>
      <c r="H15" s="22">
        <v>0</v>
      </c>
      <c r="I15" s="23">
        <f t="shared" ref="I15:I16" si="4">G15+H15</f>
        <v>70632.96613208935</v>
      </c>
      <c r="J15" s="22">
        <v>70632.96613208935</v>
      </c>
      <c r="K15" s="22">
        <v>0</v>
      </c>
      <c r="L15" s="23">
        <f t="shared" ref="L15:L16" si="5">J15+K15</f>
        <v>70632.96613208935</v>
      </c>
      <c r="M15" s="22">
        <v>70632.96613208935</v>
      </c>
      <c r="N15" s="22">
        <v>0</v>
      </c>
      <c r="O15" s="23">
        <f t="shared" ref="O15:O16" si="6">M15+N15</f>
        <v>70632.96613208935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1767.8110297890146</v>
      </c>
      <c r="E16" s="22">
        <v>0</v>
      </c>
      <c r="F16" s="23">
        <f t="shared" si="0"/>
        <v>1767.8110297890146</v>
      </c>
      <c r="G16" s="22">
        <v>1766.0449848042106</v>
      </c>
      <c r="H16" s="22">
        <v>0</v>
      </c>
      <c r="I16" s="23">
        <f t="shared" si="4"/>
        <v>1766.0449848042106</v>
      </c>
      <c r="J16" s="22">
        <v>1766.0449848042106</v>
      </c>
      <c r="K16" s="22">
        <v>0</v>
      </c>
      <c r="L16" s="23">
        <f t="shared" si="5"/>
        <v>1766.0449848042106</v>
      </c>
      <c r="M16" s="22">
        <v>1766.0449848042106</v>
      </c>
      <c r="N16" s="22">
        <v>0</v>
      </c>
      <c r="O16" s="23">
        <f t="shared" si="6"/>
        <v>1766.0449848042106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1166.7552796607497</v>
      </c>
      <c r="E19" s="22">
        <v>0</v>
      </c>
      <c r="F19" s="23">
        <f t="shared" si="0"/>
        <v>1166.7552796607497</v>
      </c>
      <c r="G19" s="22">
        <v>1165.5896899707791</v>
      </c>
      <c r="H19" s="22">
        <v>0</v>
      </c>
      <c r="I19" s="23">
        <f t="shared" ref="I19:I20" si="7">G19+H19</f>
        <v>1165.5896899707791</v>
      </c>
      <c r="J19" s="22">
        <v>1165.5896899707791</v>
      </c>
      <c r="K19" s="22">
        <v>0</v>
      </c>
      <c r="L19" s="23">
        <f t="shared" ref="L19:L20" si="8">J19+K19</f>
        <v>1165.5896899707791</v>
      </c>
      <c r="M19" s="32">
        <v>1165.5896899707791</v>
      </c>
      <c r="N19" s="33">
        <v>0</v>
      </c>
      <c r="O19" s="23">
        <f t="shared" ref="O19:O20" si="9">M19+N19</f>
        <v>1165.5896899707791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178">
        <v>164777.04576156047</v>
      </c>
      <c r="E20" s="22">
        <v>0</v>
      </c>
      <c r="F20" s="23">
        <f t="shared" si="0"/>
        <v>164777.04576156047</v>
      </c>
      <c r="G20" s="178">
        <v>434496.82035924675</v>
      </c>
      <c r="H20" s="22">
        <v>0</v>
      </c>
      <c r="I20" s="23">
        <f t="shared" si="7"/>
        <v>434496.82035924675</v>
      </c>
      <c r="J20" s="22">
        <v>44373.977375000009</v>
      </c>
      <c r="K20" s="22">
        <v>0</v>
      </c>
      <c r="L20" s="23">
        <f t="shared" si="8"/>
        <v>44373.977375000009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170">
        <f>1593979*0.1</f>
        <v>159397.90000000002</v>
      </c>
      <c r="F21" s="23">
        <f>E21</f>
        <v>159397.90000000002</v>
      </c>
      <c r="G21" s="34"/>
      <c r="H21" s="170">
        <v>170198.3763503388</v>
      </c>
      <c r="I21" s="23">
        <f>H21</f>
        <v>170198.3763503388</v>
      </c>
      <c r="J21" s="34"/>
      <c r="K21" s="170">
        <v>181084.32078076259</v>
      </c>
      <c r="L21" s="23">
        <f>K21</f>
        <v>181084.32078076259</v>
      </c>
      <c r="M21" s="34"/>
      <c r="N21" s="22">
        <v>187116.96947262625</v>
      </c>
      <c r="O21" s="23">
        <f>N21</f>
        <v>187116.96947262625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170">
        <v>100000</v>
      </c>
      <c r="N22" s="22">
        <v>0</v>
      </c>
      <c r="O22" s="36">
        <f t="shared" ref="O22" si="12">M22+N22</f>
        <v>100000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1238673.030012809</v>
      </c>
      <c r="E23" s="38">
        <f>E6+E7+E8+E9+E10+E11+E12-E15-E19+E20+E21</f>
        <v>159397.90000000002</v>
      </c>
      <c r="F23" s="38">
        <f>D23+E23</f>
        <v>1398070.9300128091</v>
      </c>
      <c r="G23" s="38">
        <f>G6+G7+G8+G9+G10+G11+G12-G15-G19+G20+G22</f>
        <v>1550419.6181874489</v>
      </c>
      <c r="H23" s="38">
        <f>H6+H7+H8+H9+H10+H11+H12-H15-H19+H20+H21+H22</f>
        <v>170198.3763503388</v>
      </c>
      <c r="I23" s="38">
        <f>G23+H23</f>
        <v>1720617.9945377877</v>
      </c>
      <c r="J23" s="38">
        <f>J6+J7+J8+J9+J10+J11+J12-J15-J19+J20+J22</f>
        <v>1160296.7752032022</v>
      </c>
      <c r="K23" s="38">
        <f>K6+K7+K8+K9+K10+K11+K12-K15-K19+K20+K21+K22</f>
        <v>181084.32078076259</v>
      </c>
      <c r="L23" s="38">
        <f>J23+K23</f>
        <v>1341381.0959839649</v>
      </c>
      <c r="M23" s="38">
        <f>M6+M7+M8+M9+M10+M11+M12-M15-M19+M20+M22</f>
        <v>1215922.7978282021</v>
      </c>
      <c r="N23" s="38">
        <f>N6+N7+N8+N9+N10+N11+N12-N15-N19+N20+N21+N22</f>
        <v>187116.96947262625</v>
      </c>
      <c r="O23" s="38">
        <f>M23+N23</f>
        <v>1403039.7673008284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248933.80540413692</v>
      </c>
      <c r="E25" s="44">
        <v>0</v>
      </c>
      <c r="F25" s="45">
        <f t="shared" ref="F25:F44" si="13">D25+E25</f>
        <v>248933.80540413692</v>
      </c>
      <c r="G25" s="44">
        <v>260199.80326145326</v>
      </c>
      <c r="H25" s="44">
        <v>0</v>
      </c>
      <c r="I25" s="45">
        <f t="shared" ref="I25:I33" si="14">G25+H25</f>
        <v>260199.80326145326</v>
      </c>
      <c r="J25" s="44">
        <v>260199.80326145326</v>
      </c>
      <c r="K25" s="44">
        <v>0</v>
      </c>
      <c r="L25" s="45">
        <f t="shared" ref="L25:L44" si="15">J25+K25</f>
        <v>260199.80326145326</v>
      </c>
      <c r="M25" s="44">
        <v>260199.80326145326</v>
      </c>
      <c r="N25" s="44">
        <v>0</v>
      </c>
      <c r="O25" s="45">
        <f t="shared" ref="O25:O43" si="16">M25+N25</f>
        <v>260199.80326145326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54566.115322029247</v>
      </c>
      <c r="E26" s="22">
        <v>0</v>
      </c>
      <c r="F26" s="36">
        <f t="shared" si="13"/>
        <v>54566.115322029247</v>
      </c>
      <c r="G26" s="22">
        <v>56164.586434759003</v>
      </c>
      <c r="H26" s="22">
        <v>0</v>
      </c>
      <c r="I26" s="36">
        <f t="shared" si="14"/>
        <v>56164.586434759003</v>
      </c>
      <c r="J26" s="22">
        <v>56164.586434759003</v>
      </c>
      <c r="K26" s="22">
        <v>0</v>
      </c>
      <c r="L26" s="36">
        <f t="shared" si="15"/>
        <v>56164.586434759003</v>
      </c>
      <c r="M26" s="22">
        <v>56164.586434759003</v>
      </c>
      <c r="N26" s="22">
        <v>0</v>
      </c>
      <c r="O26" s="36">
        <f t="shared" si="16"/>
        <v>56164.586434759003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150454.94315723865</v>
      </c>
      <c r="E27" s="47">
        <v>9027.0179999999982</v>
      </c>
      <c r="F27" s="48">
        <f t="shared" si="13"/>
        <v>159481.96115723866</v>
      </c>
      <c r="G27" s="47">
        <v>156248.41929734134</v>
      </c>
      <c r="H27" s="47">
        <v>9018</v>
      </c>
      <c r="I27" s="48">
        <f t="shared" si="14"/>
        <v>165266.41929734134</v>
      </c>
      <c r="J27" s="47">
        <v>156248.41929734134</v>
      </c>
      <c r="K27" s="47">
        <v>9018</v>
      </c>
      <c r="L27" s="48">
        <f t="shared" si="15"/>
        <v>165266.41929734134</v>
      </c>
      <c r="M27" s="47">
        <v>156248.41929734134</v>
      </c>
      <c r="N27" s="47">
        <v>9018</v>
      </c>
      <c r="O27" s="48">
        <f t="shared" si="16"/>
        <v>165266.41929734134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13781.928759987159</v>
      </c>
      <c r="E29" s="47">
        <v>7180.8</v>
      </c>
      <c r="F29" s="48">
        <f t="shared" si="13"/>
        <v>20962.72875998716</v>
      </c>
      <c r="G29" s="47">
        <v>13880.940318201354</v>
      </c>
      <c r="H29" s="47">
        <v>7180.8</v>
      </c>
      <c r="I29" s="48">
        <f t="shared" si="14"/>
        <v>21061.740318201355</v>
      </c>
      <c r="J29" s="47">
        <v>13880.940318201354</v>
      </c>
      <c r="K29" s="47">
        <v>7180.8</v>
      </c>
      <c r="L29" s="48">
        <f t="shared" si="15"/>
        <v>21061.740318201355</v>
      </c>
      <c r="M29" s="47">
        <v>13880.940318201354</v>
      </c>
      <c r="N29" s="47">
        <v>7180.8</v>
      </c>
      <c r="O29" s="48">
        <f t="shared" si="16"/>
        <v>21061.740318201355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218802.98723925505</v>
      </c>
      <c r="E30" s="51">
        <f>+E26+E27+E28+E29</f>
        <v>16207.817999999999</v>
      </c>
      <c r="F30" s="52">
        <f t="shared" si="13"/>
        <v>235010.80523925505</v>
      </c>
      <c r="G30" s="51">
        <f>+G26+G27+G28+G29</f>
        <v>226293.94605030169</v>
      </c>
      <c r="H30" s="51">
        <f>+H26+H27+H28+H29</f>
        <v>16198.8</v>
      </c>
      <c r="I30" s="52">
        <f t="shared" si="14"/>
        <v>242492.74605030168</v>
      </c>
      <c r="J30" s="51">
        <f>+J26+J27+J28+J29</f>
        <v>226293.94605030169</v>
      </c>
      <c r="K30" s="51">
        <f>+K26+K27+K28+K29</f>
        <v>16198.8</v>
      </c>
      <c r="L30" s="52">
        <f t="shared" si="15"/>
        <v>242492.74605030168</v>
      </c>
      <c r="M30" s="51">
        <f>+M26+M27+M28+M29</f>
        <v>226293.94605030169</v>
      </c>
      <c r="N30" s="51">
        <f>+N26+N27+N28+N29</f>
        <v>16198.8</v>
      </c>
      <c r="O30" s="52">
        <f t="shared" si="16"/>
        <v>242492.74605030168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98257.944925291784</v>
      </c>
      <c r="E31" s="53">
        <v>0</v>
      </c>
      <c r="F31" s="48">
        <f t="shared" si="13"/>
        <v>98257.944925291784</v>
      </c>
      <c r="G31" s="147">
        <f>VLOOKUP($A$1,REM_ToolEnrico!$B$5:$J$38,4,FALSE)</f>
        <v>84257.504075334626</v>
      </c>
      <c r="H31" s="53">
        <v>0</v>
      </c>
      <c r="I31" s="48">
        <f t="shared" si="14"/>
        <v>84257.504075334626</v>
      </c>
      <c r="J31" s="147">
        <f>VLOOKUP($A$1,REM_ToolEnrico!$B$5:$J$38,6,FALSE)</f>
        <v>91934.444927021614</v>
      </c>
      <c r="K31" s="53">
        <v>0</v>
      </c>
      <c r="L31" s="48">
        <f t="shared" si="15"/>
        <v>91934.444927021614</v>
      </c>
      <c r="M31" s="147">
        <f>VLOOKUP($A$1,REM_ToolEnrico!$B$5:$J$38,8,FALSE)</f>
        <v>95249.767387153261</v>
      </c>
      <c r="N31" s="53">
        <v>0</v>
      </c>
      <c r="O31" s="48">
        <f t="shared" si="16"/>
        <v>95249.767387153261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67813.784793300001</v>
      </c>
      <c r="F32" s="48">
        <f t="shared" si="13"/>
        <v>67813.784793300001</v>
      </c>
      <c r="G32" s="54">
        <f>+G33+G34+G35+G36</f>
        <v>0</v>
      </c>
      <c r="H32" s="54">
        <f>+H33+H34+H35+H36</f>
        <v>67756.6707933</v>
      </c>
      <c r="I32" s="48">
        <f t="shared" si="14"/>
        <v>67756.6707933</v>
      </c>
      <c r="J32" s="54">
        <f>+J33+J34+J35+J36</f>
        <v>0</v>
      </c>
      <c r="K32" s="54">
        <f>+K33+K34+K35+K36</f>
        <v>67756.6707933</v>
      </c>
      <c r="L32" s="48">
        <f t="shared" si="15"/>
        <v>67756.6707933</v>
      </c>
      <c r="M32" s="54">
        <f>+M33+M34+M35+M36</f>
        <v>0</v>
      </c>
      <c r="N32" s="54">
        <f>+N33+N34+N35+N36</f>
        <v>67756.6707933</v>
      </c>
      <c r="O32" s="48">
        <f t="shared" si="16"/>
        <v>67756.6707933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67813.784793300001</v>
      </c>
      <c r="F34" s="48">
        <f>D34+E34</f>
        <v>67813.784793300001</v>
      </c>
      <c r="G34" s="47">
        <v>0</v>
      </c>
      <c r="H34" s="47">
        <v>67756.6707933</v>
      </c>
      <c r="I34" s="48">
        <f>G34+H34</f>
        <v>67756.6707933</v>
      </c>
      <c r="J34" s="47">
        <v>0</v>
      </c>
      <c r="K34" s="158">
        <v>67756.6707933</v>
      </c>
      <c r="L34" s="48">
        <f t="shared" si="15"/>
        <v>67756.6707933</v>
      </c>
      <c r="M34" s="47">
        <v>0</v>
      </c>
      <c r="N34" s="158">
        <v>67756.6707933</v>
      </c>
      <c r="O34" s="48">
        <f t="shared" si="16"/>
        <v>67756.6707933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52151.656338671339</v>
      </c>
      <c r="E37" s="47">
        <v>0</v>
      </c>
      <c r="F37" s="48">
        <f t="shared" si="13"/>
        <v>52151.656338671339</v>
      </c>
      <c r="G37" s="147">
        <f>VLOOKUP($A$1,REM_ToolEnrico!$B$5:$J$38,5,FALSE)</f>
        <v>52764.187146122909</v>
      </c>
      <c r="H37" s="47">
        <v>0</v>
      </c>
      <c r="I37" s="48">
        <f t="shared" si="17"/>
        <v>52764.187146122909</v>
      </c>
      <c r="J37" s="147">
        <f>VLOOKUP($A$1,REM_ToolEnrico!$B$5:$J$38,7,FALSE)</f>
        <v>55340.788128374916</v>
      </c>
      <c r="K37" s="47">
        <v>0</v>
      </c>
      <c r="L37" s="48">
        <f t="shared" si="15"/>
        <v>55340.788128374916</v>
      </c>
      <c r="M37" s="147">
        <f>VLOOKUP($A$1,REM_ToolEnrico!$B$5:$J$38,9,FALSE)</f>
        <v>56725.929961880029</v>
      </c>
      <c r="N37" s="47">
        <v>0</v>
      </c>
      <c r="O37" s="48">
        <f t="shared" si="16"/>
        <v>56725.929961880029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638.79194624767274</v>
      </c>
      <c r="E38" s="47">
        <v>0</v>
      </c>
      <c r="F38" s="48">
        <f t="shared" si="13"/>
        <v>638.79194624767274</v>
      </c>
      <c r="G38" s="47">
        <v>640.06953014016813</v>
      </c>
      <c r="H38" s="47">
        <v>0</v>
      </c>
      <c r="I38" s="48">
        <f t="shared" si="17"/>
        <v>640.06953014016813</v>
      </c>
      <c r="J38" s="47">
        <v>640.06953014016813</v>
      </c>
      <c r="K38" s="47">
        <v>0</v>
      </c>
      <c r="L38" s="48">
        <f t="shared" si="15"/>
        <v>640.06953014016813</v>
      </c>
      <c r="M38" s="47">
        <v>640.06953014016813</v>
      </c>
      <c r="N38" s="47">
        <v>0</v>
      </c>
      <c r="O38" s="48">
        <f t="shared" si="16"/>
        <v>640.06953014016813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151048.39321021078</v>
      </c>
      <c r="E40" s="51">
        <f>E38+E37+E32+E31+E39</f>
        <v>67813.784793300001</v>
      </c>
      <c r="F40" s="52">
        <f t="shared" si="13"/>
        <v>218862.17800351078</v>
      </c>
      <c r="G40" s="51">
        <f>G38+G37+G32+G31+G39</f>
        <v>137661.7607515977</v>
      </c>
      <c r="H40" s="51">
        <f>H38+H37+H32+H31+H39</f>
        <v>67756.6707933</v>
      </c>
      <c r="I40" s="52">
        <f t="shared" si="17"/>
        <v>205418.4315448977</v>
      </c>
      <c r="J40" s="51">
        <f>J38+J37+J32+J31+J39</f>
        <v>147915.3025855367</v>
      </c>
      <c r="K40" s="51">
        <f>K38+K37+K32+K31+K39</f>
        <v>67756.6707933</v>
      </c>
      <c r="L40" s="52">
        <f t="shared" si="15"/>
        <v>215671.9733788367</v>
      </c>
      <c r="M40" s="51">
        <f>M38+M37+M32+M31+M39</f>
        <v>152615.76687917346</v>
      </c>
      <c r="N40" s="51">
        <f>N38+N37+N32+N31+N39</f>
        <v>67756.6707933</v>
      </c>
      <c r="O40" s="52">
        <f t="shared" si="16"/>
        <v>220372.43767247346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8564.3778155598848</v>
      </c>
      <c r="E42" s="22">
        <v>0</v>
      </c>
      <c r="F42" s="36">
        <f t="shared" si="13"/>
        <v>8564.3778155598848</v>
      </c>
      <c r="G42" s="22">
        <v>16137.380707132132</v>
      </c>
      <c r="H42" s="22">
        <v>0</v>
      </c>
      <c r="I42" s="36">
        <f t="shared" si="17"/>
        <v>16137.380707132132</v>
      </c>
      <c r="J42" s="22">
        <v>16137.380707132132</v>
      </c>
      <c r="K42" s="22">
        <v>0</v>
      </c>
      <c r="L42" s="36">
        <f t="shared" si="15"/>
        <v>16137.380707132132</v>
      </c>
      <c r="M42" s="22">
        <v>16137.380707132132</v>
      </c>
      <c r="N42" s="22">
        <v>0</v>
      </c>
      <c r="O42" s="36">
        <f t="shared" si="16"/>
        <v>16137.380707132132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178">
        <v>-5656.8707932999987</v>
      </c>
      <c r="F44" s="36">
        <f t="shared" si="13"/>
        <v>-5656.8707932999987</v>
      </c>
      <c r="G44" s="57">
        <v>0</v>
      </c>
      <c r="H44" s="178">
        <v>-5656.8707932999987</v>
      </c>
      <c r="I44" s="36">
        <f t="shared" si="17"/>
        <v>-5656.8707932999987</v>
      </c>
      <c r="J44" s="57">
        <v>0</v>
      </c>
      <c r="K44" s="57">
        <v>-8101.5276612999996</v>
      </c>
      <c r="L44" s="36">
        <f t="shared" si="15"/>
        <v>-8101.5276612999996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v>0</v>
      </c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627349.56366916269</v>
      </c>
      <c r="E47" s="59">
        <f>E25+E30+E40+E41+E42+E43+E44+E45</f>
        <v>78364.732000000004</v>
      </c>
      <c r="F47" s="60">
        <f>D47+E47</f>
        <v>705714.29566916265</v>
      </c>
      <c r="G47" s="59">
        <f>G25+G30+G40+G41+G42+G43+G44+G46</f>
        <v>640292.89077048481</v>
      </c>
      <c r="H47" s="59">
        <f>H25+H30+H40+H41+H42+H43+H44+H45+H46</f>
        <v>78298.600000000006</v>
      </c>
      <c r="I47" s="60">
        <f>G47+H47</f>
        <v>718591.49077048479</v>
      </c>
      <c r="J47" s="59">
        <f>J25+J30+J40+J41+J42+J43+J44+J46</f>
        <v>650546.43260442384</v>
      </c>
      <c r="K47" s="59">
        <f>K25+K30+K40+K41+K42+K43+K44+K45+K46</f>
        <v>75853.943132</v>
      </c>
      <c r="L47" s="60">
        <f>J47+K47</f>
        <v>726400.37573642388</v>
      </c>
      <c r="M47" s="59">
        <f>M25+M30+M40+M41+M42+M43+M44+M46</f>
        <v>655246.89689806057</v>
      </c>
      <c r="N47" s="59">
        <f>N25+N30+N40+N41+N42+N43+N44+N45+N46</f>
        <v>83955.470793300003</v>
      </c>
      <c r="O47" s="60">
        <f>M47+N47</f>
        <v>739202.36769136053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1868141.6516642759</v>
      </c>
      <c r="E49" s="65">
        <v>260479.77136819722</v>
      </c>
      <c r="F49" s="65">
        <f>D49+E49</f>
        <v>2128621.4230324733</v>
      </c>
      <c r="G49" s="65">
        <f>G50</f>
        <v>2190712.5089579336</v>
      </c>
      <c r="H49" s="65">
        <v>292882.63089579338</v>
      </c>
      <c r="I49" s="65">
        <f t="shared" ref="I49" si="21">G49+H49</f>
        <v>2483595.1398537271</v>
      </c>
      <c r="J49" s="65">
        <f>J50</f>
        <v>1810843.2078076261</v>
      </c>
      <c r="K49" s="65">
        <v>295423.77402779338</v>
      </c>
      <c r="L49" s="65">
        <f t="shared" ref="L49" si="22">J49+K49</f>
        <v>2106266.9818354193</v>
      </c>
      <c r="M49" s="65">
        <f>M50</f>
        <v>1871169.6947262627</v>
      </c>
      <c r="N49" s="65">
        <v>303525.30168909335</v>
      </c>
      <c r="O49" s="65">
        <f t="shared" ref="O49" si="23">M49+N49</f>
        <v>2174694.9964153562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1866022.5936819715</v>
      </c>
      <c r="E50" s="59">
        <f t="shared" si="24"/>
        <v>237762.63200000004</v>
      </c>
      <c r="F50" s="59">
        <f t="shared" si="24"/>
        <v>2103785.2256819718</v>
      </c>
      <c r="G50" s="59">
        <f>+G23+G47</f>
        <v>2190712.5089579336</v>
      </c>
      <c r="H50" s="59">
        <f t="shared" si="24"/>
        <v>248496.97635033881</v>
      </c>
      <c r="I50" s="59">
        <f t="shared" si="24"/>
        <v>2439209.4853082728</v>
      </c>
      <c r="J50" s="59">
        <f t="shared" si="24"/>
        <v>1810843.2078076261</v>
      </c>
      <c r="K50" s="59">
        <f>+K23+K47</f>
        <v>256938.26391276257</v>
      </c>
      <c r="L50" s="59">
        <f t="shared" si="24"/>
        <v>2067781.4717203886</v>
      </c>
      <c r="M50" s="59">
        <f>+M23+M47</f>
        <v>1871169.6947262627</v>
      </c>
      <c r="N50" s="59">
        <f t="shared" si="24"/>
        <v>271072.44026592624</v>
      </c>
      <c r="O50" s="59">
        <f t="shared" si="24"/>
        <v>2142242.1349921888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164777.04576156047</v>
      </c>
      <c r="E51" s="183">
        <f>E44+E20</f>
        <v>-5656.8707932999987</v>
      </c>
      <c r="F51" s="146"/>
      <c r="G51" s="68">
        <f>G44+G20</f>
        <v>434496.82035924675</v>
      </c>
      <c r="H51" s="178">
        <f>H44+H20</f>
        <v>-5656.8707932999987</v>
      </c>
      <c r="I51" s="146"/>
      <c r="J51" s="68">
        <f>J44+J20</f>
        <v>44373.977375000009</v>
      </c>
      <c r="K51" s="68">
        <f>K44+K20</f>
        <v>-8101.5276612999996</v>
      </c>
      <c r="L51" s="146"/>
      <c r="M51" s="68">
        <f>M44+M20</f>
        <v>0</v>
      </c>
      <c r="N51" s="68">
        <f>N44+N20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0.79540000000000011</v>
      </c>
      <c r="G53" s="72"/>
      <c r="H53" s="73"/>
      <c r="I53" s="74">
        <v>0.79540000000000011</v>
      </c>
      <c r="J53" s="72"/>
      <c r="K53" s="73"/>
      <c r="L53" s="74">
        <v>0.79540000000000011</v>
      </c>
      <c r="M53" s="72"/>
      <c r="N53" s="73"/>
      <c r="O53" s="74">
        <v>0.79540000000000011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5810.7939999999999</v>
      </c>
      <c r="G54" s="34"/>
      <c r="H54" s="76"/>
      <c r="I54" s="77">
        <v>5810.7939999999999</v>
      </c>
      <c r="J54" s="34"/>
      <c r="K54" s="76"/>
      <c r="L54" s="77">
        <v>5810.7939999999999</v>
      </c>
      <c r="M54" s="34"/>
      <c r="N54" s="76"/>
      <c r="O54" s="77">
        <v>5810.7939999999999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33.541294873401135</v>
      </c>
      <c r="G55" s="34"/>
      <c r="H55" s="76"/>
      <c r="I55" s="78">
        <v>29.518577535123519</v>
      </c>
      <c r="J55" s="34"/>
      <c r="K55" s="76"/>
      <c r="L55" s="78">
        <v>31.437285074906548</v>
      </c>
      <c r="M55" s="34"/>
      <c r="N55" s="76"/>
      <c r="O55" s="78">
        <v>33.480708604775472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26.877784298917266</v>
      </c>
      <c r="G56" s="81"/>
      <c r="H56" s="82"/>
      <c r="I56" s="78">
        <v>26.877784298917266</v>
      </c>
      <c r="J56" s="81"/>
      <c r="K56" s="82"/>
      <c r="L56" s="78">
        <v>26.877784298917266</v>
      </c>
      <c r="M56" s="81"/>
      <c r="N56" s="82"/>
      <c r="O56" s="78">
        <v>26.877784298917266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-2.5000000000000022E-2</v>
      </c>
      <c r="G59" s="87"/>
      <c r="H59" s="73"/>
      <c r="I59" s="86">
        <v>-2.5000000000000022E-2</v>
      </c>
      <c r="J59" s="72"/>
      <c r="K59" s="73"/>
      <c r="L59" s="88">
        <v>-2.5000000000000022E-2</v>
      </c>
      <c r="M59" s="72"/>
      <c r="N59" s="73"/>
      <c r="O59" s="88">
        <v>-2.5000000000000022E-2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-6.1135160219295881E-2</v>
      </c>
      <c r="G60" s="90"/>
      <c r="H60" s="76"/>
      <c r="I60" s="89">
        <v>-6.1135160219295881E-2</v>
      </c>
      <c r="J60" s="34"/>
      <c r="K60" s="91"/>
      <c r="L60" s="89">
        <v>-6.1135160219295881E-2</v>
      </c>
      <c r="M60" s="34"/>
      <c r="N60" s="76"/>
      <c r="O60" s="89">
        <v>-6.1135160219295881E-2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-8.6135160219295903E-2</v>
      </c>
      <c r="G61" s="90"/>
      <c r="H61" s="76"/>
      <c r="I61" s="92">
        <v>-8.6135160219295903E-2</v>
      </c>
      <c r="J61" s="34"/>
      <c r="K61" s="76"/>
      <c r="L61" s="93">
        <v>-8.6135160219295903E-2</v>
      </c>
      <c r="M61" s="34"/>
      <c r="N61" s="76"/>
      <c r="O61" s="92">
        <v>-8.6135160219295903E-2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0.9138648397807041</v>
      </c>
      <c r="G62" s="95"/>
      <c r="H62" s="82"/>
      <c r="I62" s="94">
        <v>0.9138648397807041</v>
      </c>
      <c r="J62" s="81"/>
      <c r="K62" s="82"/>
      <c r="L62" s="94">
        <v>0.9138648397807041</v>
      </c>
      <c r="M62" s="81"/>
      <c r="N62" s="82"/>
      <c r="O62" s="94">
        <v>0.9138648397807041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2103785.2256819718</v>
      </c>
      <c r="G72" s="34"/>
      <c r="H72" s="76"/>
      <c r="I72" s="108">
        <f>I50</f>
        <v>2439209.4853082728</v>
      </c>
      <c r="J72" s="34"/>
      <c r="K72" s="76"/>
      <c r="L72" s="108">
        <f>L50</f>
        <v>2067781.4717203886</v>
      </c>
      <c r="M72" s="34"/>
      <c r="N72" s="76"/>
      <c r="O72" s="108">
        <f>O50</f>
        <v>2142242.1349921888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1268626.888488044</v>
      </c>
      <c r="G73" s="34"/>
      <c r="H73" s="76"/>
      <c r="I73" s="110">
        <f>F81</f>
        <v>1121041.9300128091</v>
      </c>
      <c r="J73" s="34"/>
      <c r="K73" s="76"/>
      <c r="L73" s="110">
        <f>I81</f>
        <v>1226902.9945377877</v>
      </c>
      <c r="M73" s="34"/>
      <c r="N73" s="76"/>
      <c r="O73" s="110">
        <f>L81</f>
        <v>1341381.0959839649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446636.8438082611</v>
      </c>
      <c r="G74" s="34"/>
      <c r="H74" s="76"/>
      <c r="I74" s="110">
        <f>F82</f>
        <v>705714.29566916265</v>
      </c>
      <c r="J74" s="34"/>
      <c r="K74" s="76"/>
      <c r="L74" s="110">
        <f>I82</f>
        <v>718591.49077048467</v>
      </c>
      <c r="M74" s="34"/>
      <c r="N74" s="76"/>
      <c r="O74" s="110">
        <f>L82</f>
        <v>726400.375736424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1715263.7322963052</v>
      </c>
      <c r="G75" s="34"/>
      <c r="H75" s="76"/>
      <c r="I75" s="111">
        <f>SUM(I73:I74)</f>
        <v>1826756.2256819718</v>
      </c>
      <c r="J75" s="34"/>
      <c r="K75" s="76"/>
      <c r="L75" s="111">
        <f>SUM(L73:L74)</f>
        <v>1945494.4853082723</v>
      </c>
      <c r="M75" s="34"/>
      <c r="N75" s="76"/>
      <c r="O75" s="111">
        <f>SUM(O73:O74)</f>
        <v>2067781.4717203889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1.2265083124363239</v>
      </c>
      <c r="G76" s="81"/>
      <c r="H76" s="82"/>
      <c r="I76" s="112">
        <f>I72/I75</f>
        <v>1.3352681934326829</v>
      </c>
      <c r="J76" s="81"/>
      <c r="K76" s="82"/>
      <c r="L76" s="112">
        <f>L72/L75</f>
        <v>1.0628565063204172</v>
      </c>
      <c r="M76" s="81"/>
      <c r="N76" s="82"/>
      <c r="O76" s="112">
        <f>O72/O75</f>
        <v>1.0360099286554922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1826755.874895565</v>
      </c>
      <c r="G78" s="73"/>
      <c r="H78" s="73"/>
      <c r="I78" s="115">
        <f>IF(I72&lt;=I75*I71,I72,I75*I71)</f>
        <v>1945495.3803512999</v>
      </c>
      <c r="J78" s="73"/>
      <c r="K78" s="73"/>
      <c r="L78" s="115">
        <f>IF(L72&lt;=L75*L71,L72,L75*L71)</f>
        <v>2067781.4717203886</v>
      </c>
      <c r="M78" s="73"/>
      <c r="N78" s="73"/>
      <c r="O78" s="115">
        <f>IF(O72&lt;=O75*O71,O72,O75*O71)</f>
        <v>2142242.1349921888</v>
      </c>
    </row>
    <row r="79" spans="2:52" s="14" customFormat="1" ht="20" customHeight="1" thickBot="1">
      <c r="B79" s="116" t="s">
        <v>70</v>
      </c>
      <c r="D79" s="81"/>
      <c r="E79" s="82"/>
      <c r="F79" s="169">
        <f>IF(F76&lt;=F71,0,F72-F78)*0+277029</f>
        <v>277029</v>
      </c>
      <c r="G79" s="34"/>
      <c r="H79" s="76"/>
      <c r="I79" s="169">
        <f>IF(I76&lt;=I71,0,I72-I78)*0+493715</f>
        <v>493715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961644.03001280897</v>
      </c>
      <c r="E81" s="120">
        <f>E23</f>
        <v>159397.90000000002</v>
      </c>
      <c r="F81" s="115">
        <f>D81+E81</f>
        <v>1121041.9300128091</v>
      </c>
      <c r="G81" s="119">
        <f>G23-I79</f>
        <v>1056704.6181874489</v>
      </c>
      <c r="H81" s="120">
        <f>H23</f>
        <v>170198.3763503388</v>
      </c>
      <c r="I81" s="115">
        <f>G81+H81</f>
        <v>1226902.9945377877</v>
      </c>
      <c r="J81" s="119">
        <f>J23-L79</f>
        <v>1160296.7752032022</v>
      </c>
      <c r="K81" s="120">
        <f>K23</f>
        <v>181084.32078076259</v>
      </c>
      <c r="L81" s="115">
        <f>J81+K81</f>
        <v>1341381.0959839649</v>
      </c>
      <c r="M81" s="119">
        <f>M23-O79</f>
        <v>1215922.7978282021</v>
      </c>
      <c r="N81" s="120">
        <f>N23</f>
        <v>187116.96947262625</v>
      </c>
      <c r="O81" s="115">
        <f>M81+N81</f>
        <v>1403039.7673008284</v>
      </c>
    </row>
    <row r="82" spans="1:52" s="14" customFormat="1" ht="20" customHeight="1" thickBot="1">
      <c r="B82" s="118" t="s">
        <v>72</v>
      </c>
      <c r="D82" s="121">
        <f>D50-D81-F79</f>
        <v>627349.56366916257</v>
      </c>
      <c r="E82" s="122">
        <f>E50-E81</f>
        <v>78364.732000000018</v>
      </c>
      <c r="F82" s="123">
        <f>D82+E82</f>
        <v>705714.29566916265</v>
      </c>
      <c r="G82" s="121">
        <f>G49-G81-I79</f>
        <v>640292.89077048469</v>
      </c>
      <c r="H82" s="122">
        <f>H50-H81</f>
        <v>78298.600000000006</v>
      </c>
      <c r="I82" s="123">
        <f>G82+H82</f>
        <v>718591.49077048467</v>
      </c>
      <c r="J82" s="121">
        <f>J50-J81-L79</f>
        <v>650546.43260442396</v>
      </c>
      <c r="K82" s="122">
        <f>K50-K81</f>
        <v>75853.943131999986</v>
      </c>
      <c r="L82" s="123">
        <f>J82+K82</f>
        <v>726400.375736424</v>
      </c>
      <c r="M82" s="121">
        <f>M49-M81-O79</f>
        <v>655246.89689806057</v>
      </c>
      <c r="N82" s="122">
        <f>N50-N81</f>
        <v>83955.470793299988</v>
      </c>
      <c r="O82" s="123">
        <f>M82+N82</f>
        <v>739202.36769136053</v>
      </c>
    </row>
    <row r="83" spans="1:52" s="124" customFormat="1" ht="17.25" customHeight="1" thickBot="1">
      <c r="B83" s="125" t="s">
        <v>73</v>
      </c>
      <c r="C83" s="14"/>
      <c r="D83" s="126">
        <f>SUM(D81:D82)</f>
        <v>1588993.5936819715</v>
      </c>
      <c r="E83" s="127">
        <f t="shared" ref="E83:O83" si="25">SUM(E81:E82)</f>
        <v>237762.63200000004</v>
      </c>
      <c r="F83" s="128">
        <f t="shared" si="25"/>
        <v>1826756.2256819718</v>
      </c>
      <c r="G83" s="126">
        <f t="shared" si="25"/>
        <v>1696997.5089579336</v>
      </c>
      <c r="H83" s="127">
        <f t="shared" si="25"/>
        <v>248496.97635033881</v>
      </c>
      <c r="I83" s="128">
        <f t="shared" si="25"/>
        <v>1945494.4853082723</v>
      </c>
      <c r="J83" s="126">
        <f t="shared" si="25"/>
        <v>1810843.2078076261</v>
      </c>
      <c r="K83" s="127">
        <f t="shared" si="25"/>
        <v>256938.26391276257</v>
      </c>
      <c r="L83" s="128">
        <f t="shared" si="25"/>
        <v>2067781.4717203889</v>
      </c>
      <c r="M83" s="126">
        <f t="shared" si="25"/>
        <v>1871169.6947262627</v>
      </c>
      <c r="N83" s="127">
        <f t="shared" si="25"/>
        <v>271072.44026592624</v>
      </c>
      <c r="O83" s="128">
        <f t="shared" si="25"/>
        <v>2142242.1349921888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/>
      <c r="G85" s="73"/>
      <c r="H85" s="73"/>
      <c r="I85" s="131"/>
      <c r="J85" s="73"/>
      <c r="K85" s="73"/>
      <c r="L85" s="131"/>
      <c r="M85" s="73"/>
      <c r="N85" s="73"/>
      <c r="O85" s="131"/>
    </row>
    <row r="86" spans="1:52" s="14" customFormat="1" ht="20" customHeight="1" thickBot="1">
      <c r="B86" s="130" t="s">
        <v>75</v>
      </c>
      <c r="D86" s="81"/>
      <c r="E86" s="82"/>
      <c r="F86" s="132"/>
      <c r="G86" s="82"/>
      <c r="H86" s="82"/>
      <c r="I86" s="132"/>
      <c r="J86" s="82"/>
      <c r="K86" s="82"/>
      <c r="L86" s="132"/>
      <c r="M86" s="82"/>
      <c r="N86" s="82"/>
      <c r="O86" s="132"/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1121041.9300128091</v>
      </c>
      <c r="G88" s="72"/>
      <c r="H88" s="73"/>
      <c r="I88" s="136">
        <f>I81-I85</f>
        <v>1226902.9945377877</v>
      </c>
      <c r="J88" s="72"/>
      <c r="K88" s="73"/>
      <c r="L88" s="136">
        <f>L81-L85</f>
        <v>1341381.0959839649</v>
      </c>
      <c r="M88" s="72"/>
      <c r="N88" s="73"/>
      <c r="O88" s="136">
        <f>O81-O85</f>
        <v>1403039.7673008284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705714.29566916265</v>
      </c>
      <c r="G89" s="34"/>
      <c r="H89" s="76"/>
      <c r="I89" s="138">
        <f>I82-I86</f>
        <v>718591.49077048467</v>
      </c>
      <c r="J89" s="34"/>
      <c r="K89" s="76"/>
      <c r="L89" s="138">
        <f>L82-L86</f>
        <v>726400.375736424</v>
      </c>
      <c r="M89" s="34"/>
      <c r="N89" s="76"/>
      <c r="O89" s="138">
        <f>O82-O86</f>
        <v>739202.36769136053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1826756.2256819718</v>
      </c>
      <c r="G90" s="81"/>
      <c r="H90" s="82"/>
      <c r="I90" s="139">
        <f>+I88+I89</f>
        <v>1945494.4853082723</v>
      </c>
      <c r="J90" s="81"/>
      <c r="K90" s="82"/>
      <c r="L90" s="139">
        <f>+L88+L89</f>
        <v>2067781.4717203889</v>
      </c>
      <c r="M90" s="81"/>
      <c r="N90" s="82"/>
      <c r="O90" s="139">
        <f>+O88+O89</f>
        <v>2142242.1349921888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-382.45047689713101</v>
      </c>
      <c r="E92" s="143">
        <v>0</v>
      </c>
      <c r="F92" s="144">
        <f>D92+E92</f>
        <v>-382.45047689713101</v>
      </c>
      <c r="G92" s="142">
        <v>-18130.397190652697</v>
      </c>
      <c r="H92" s="143">
        <v>0</v>
      </c>
      <c r="I92" s="144">
        <f>G92+H92</f>
        <v>-18130.397190652697</v>
      </c>
      <c r="J92" s="142">
        <v>-18130.397190652697</v>
      </c>
      <c r="K92" s="143">
        <v>0</v>
      </c>
      <c r="L92" s="144">
        <f>J92+K92</f>
        <v>-18130.397190652697</v>
      </c>
      <c r="M92" s="142">
        <v>-18130.397190652697</v>
      </c>
      <c r="N92" s="143">
        <v>0</v>
      </c>
      <c r="O92" s="144">
        <f>M92+N92</f>
        <v>-18130.397190652697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1773115.9022982933</v>
      </c>
      <c r="E96" s="166">
        <f>E6+E7+E8+E9+E11+E25+E30+E40+E42+E21+E45</f>
        <v>243419.50279330002</v>
      </c>
      <c r="F96" s="166">
        <f t="shared" ref="F96" si="26">F6+F7+F8+F9+F11+F25+F30+F40+F42</f>
        <v>1857137.5050915931</v>
      </c>
      <c r="G96" s="166">
        <f t="shared" ref="G96" si="27">G6+G7+G8+G9+G11+G25+G30+G40+G42+G21+G45</f>
        <v>1828014.2444207468</v>
      </c>
      <c r="H96" s="166">
        <f t="shared" ref="H96" si="28">H6+H7+H8+H9+H11+H25+H30+H40+H42</f>
        <v>83955.470793300003</v>
      </c>
      <c r="I96" s="166">
        <f t="shared" ref="I96" si="29">I6+I7+I8+I9+I11+I25+I30+I40+I42+I21+I45</f>
        <v>2082168.0915643857</v>
      </c>
      <c r="J96" s="166">
        <f t="shared" ref="J96" si="30">J6+J7+J8+J9+J11+J25+J30+J40+J42</f>
        <v>1838267.7862546858</v>
      </c>
      <c r="K96" s="166">
        <f t="shared" ref="K96" si="31">K6+K7+K8+K9+K11+K25+K30+K40+K42+K21+K45</f>
        <v>265039.7915740626</v>
      </c>
      <c r="L96" s="166">
        <f t="shared" ref="L96" si="32">L6+L7+L8+L9+L11+L25+L30+L40+L42</f>
        <v>1922223.2570479859</v>
      </c>
      <c r="M96" s="166">
        <f t="shared" ref="M96" si="33">M6+M7+M8+M9+M11+M25+M30+M40+M42+M21+M45</f>
        <v>1842968.2505483227</v>
      </c>
      <c r="N96" s="166">
        <f t="shared" ref="N96" si="34">N6+N7+N8+N9+N11+N25+N30+N40+N42</f>
        <v>83955.470793300003</v>
      </c>
      <c r="O96" s="166">
        <f t="shared" ref="O96" si="35">O6+O7+O8+O9+O11+O25+O30+O40+O42+O21+O45</f>
        <v>2114040.6908142492</v>
      </c>
    </row>
    <row r="97" spans="4:15" s="14" customFormat="1">
      <c r="D97" s="166">
        <f>D96-D15-D19</f>
        <v>1701245.5479204112</v>
      </c>
      <c r="E97" s="166">
        <f>E96-E15-E19</f>
        <v>243419.50279330002</v>
      </c>
      <c r="F97" s="166">
        <f t="shared" ref="F97:O97" si="36">F96-F15-F19</f>
        <v>1785267.150713711</v>
      </c>
      <c r="G97" s="166">
        <f t="shared" si="36"/>
        <v>1756215.6885986868</v>
      </c>
      <c r="H97" s="166">
        <f t="shared" si="36"/>
        <v>83955.470793300003</v>
      </c>
      <c r="I97" s="166">
        <f t="shared" si="36"/>
        <v>2010369.5357423257</v>
      </c>
      <c r="J97" s="166">
        <f t="shared" si="36"/>
        <v>1766469.2304326259</v>
      </c>
      <c r="K97" s="166">
        <f t="shared" si="36"/>
        <v>265039.7915740626</v>
      </c>
      <c r="L97" s="166">
        <f t="shared" si="36"/>
        <v>1850424.7012259259</v>
      </c>
      <c r="M97" s="166">
        <f t="shared" si="36"/>
        <v>1771169.6947262627</v>
      </c>
      <c r="N97" s="166">
        <f t="shared" si="36"/>
        <v>83955.470793300003</v>
      </c>
      <c r="O97" s="166">
        <f t="shared" si="36"/>
        <v>2042242.1349921892</v>
      </c>
    </row>
    <row r="98" spans="4:15" s="14" customFormat="1">
      <c r="D98" s="166">
        <f>D20+D44</f>
        <v>164777.04576156047</v>
      </c>
      <c r="E98" s="166">
        <f>E20+E44</f>
        <v>-5656.8707932999987</v>
      </c>
      <c r="F98" s="166">
        <f t="shared" ref="F98:O98" si="37">F20+F44</f>
        <v>159120.17496826046</v>
      </c>
      <c r="G98" s="166">
        <f t="shared" si="37"/>
        <v>434496.82035924675</v>
      </c>
      <c r="H98" s="166">
        <f t="shared" si="37"/>
        <v>-5656.8707932999987</v>
      </c>
      <c r="I98" s="166">
        <f t="shared" si="37"/>
        <v>428839.94956594676</v>
      </c>
      <c r="J98" s="166">
        <f t="shared" si="37"/>
        <v>44373.977375000009</v>
      </c>
      <c r="K98" s="166">
        <f t="shared" si="37"/>
        <v>-8101.5276612999996</v>
      </c>
      <c r="L98" s="166">
        <f t="shared" si="37"/>
        <v>36272.449713700007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89" priority="7" operator="containsText" text="ERRORE">
      <formula>NOT(ISERROR(SEARCH("ERRORE",F81)))</formula>
    </cfRule>
  </conditionalFormatting>
  <conditionalFormatting sqref="I83">
    <cfRule type="containsText" dxfId="88" priority="6" operator="containsText" text="ERRORE">
      <formula>NOT(ISERROR(SEARCH("ERRORE",I83)))</formula>
    </cfRule>
  </conditionalFormatting>
  <conditionalFormatting sqref="I81:I82">
    <cfRule type="containsText" dxfId="87" priority="5" operator="containsText" text="ERRORE">
      <formula>NOT(ISERROR(SEARCH("ERRORE",I81)))</formula>
    </cfRule>
  </conditionalFormatting>
  <conditionalFormatting sqref="L83">
    <cfRule type="containsText" dxfId="86" priority="4" operator="containsText" text="ERRORE">
      <formula>NOT(ISERROR(SEARCH("ERRORE",L83)))</formula>
    </cfRule>
  </conditionalFormatting>
  <conditionalFormatting sqref="L81:L82">
    <cfRule type="containsText" dxfId="85" priority="3" operator="containsText" text="ERRORE">
      <formula>NOT(ISERROR(SEARCH("ERRORE",L81)))</formula>
    </cfRule>
  </conditionalFormatting>
  <conditionalFormatting sqref="O83">
    <cfRule type="containsText" dxfId="84" priority="2" operator="containsText" text="ERRORE">
      <formula>NOT(ISERROR(SEARCH("ERRORE",O83)))</formula>
    </cfRule>
  </conditionalFormatting>
  <conditionalFormatting sqref="O81:O82">
    <cfRule type="containsText" dxfId="83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H83" zoomScale="70" zoomScaleNormal="70" zoomScalePageLayoutView="70" workbookViewId="0">
      <selection activeCell="C83" sqref="A1:XFD1048576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120</v>
      </c>
      <c r="B1" s="2" t="str">
        <f>"       PEF 2022 - 2025"&amp;" - "&amp;A1</f>
        <v xml:space="preserve">       PEF 2022 - 2025 - Quarto d'Altino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143</v>
      </c>
      <c r="E4" s="188"/>
      <c r="F4" s="189"/>
      <c r="G4" s="187" t="str">
        <f>D4</f>
        <v>Ambito tariffario: QUARTO D'ALTINO</v>
      </c>
      <c r="H4" s="188"/>
      <c r="I4" s="189"/>
      <c r="J4" s="187" t="str">
        <f>D4</f>
        <v>Ambito tariffario: QUARTO D'ALTINO</v>
      </c>
      <c r="K4" s="188"/>
      <c r="L4" s="189"/>
      <c r="M4" s="187" t="str">
        <f>D4</f>
        <v>Ambito tariffario: QUARTO D'ALTINO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160349.04759884177</v>
      </c>
      <c r="E6" s="22">
        <v>0</v>
      </c>
      <c r="F6" s="23">
        <f>D6+E6</f>
        <v>160349.04759884177</v>
      </c>
      <c r="G6" s="22">
        <v>165873.68172189538</v>
      </c>
      <c r="H6" s="22">
        <v>0</v>
      </c>
      <c r="I6" s="23">
        <f>G6+H6</f>
        <v>165873.68172189538</v>
      </c>
      <c r="J6" s="22">
        <v>165873.68172189538</v>
      </c>
      <c r="K6" s="22">
        <v>0</v>
      </c>
      <c r="L6" s="23">
        <f>J6+K6</f>
        <v>165873.68172189538</v>
      </c>
      <c r="M6" s="22">
        <v>165873.68172189538</v>
      </c>
      <c r="N6" s="22">
        <v>0</v>
      </c>
      <c r="O6" s="23">
        <f>M6+N6</f>
        <v>165873.68172189538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136169.33873210428</v>
      </c>
      <c r="E7" s="22">
        <v>0</v>
      </c>
      <c r="F7" s="23">
        <f t="shared" ref="F7:F20" si="0">D7+E7</f>
        <v>136169.33873210428</v>
      </c>
      <c r="G7" s="22">
        <v>142539.54361456915</v>
      </c>
      <c r="H7" s="22">
        <v>0</v>
      </c>
      <c r="I7" s="23">
        <f t="shared" ref="I7:I13" si="1">G7+H7</f>
        <v>142539.54361456915</v>
      </c>
      <c r="J7" s="22">
        <v>142539.54361456915</v>
      </c>
      <c r="K7" s="22">
        <v>0</v>
      </c>
      <c r="L7" s="23">
        <f t="shared" ref="L7:L12" si="2">J7+K7</f>
        <v>142539.54361456915</v>
      </c>
      <c r="M7" s="22">
        <v>142539.54361456915</v>
      </c>
      <c r="N7" s="22">
        <v>0</v>
      </c>
      <c r="O7" s="23">
        <f t="shared" ref="O7:O13" si="3">M7+N7</f>
        <v>142539.54361456915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165313.82823590943</v>
      </c>
      <c r="E8" s="22">
        <v>0</v>
      </c>
      <c r="F8" s="23">
        <f t="shared" si="0"/>
        <v>165313.82823590943</v>
      </c>
      <c r="G8" s="22">
        <v>173051.51006579207</v>
      </c>
      <c r="H8" s="22">
        <v>0</v>
      </c>
      <c r="I8" s="23">
        <f t="shared" si="1"/>
        <v>173051.51006579207</v>
      </c>
      <c r="J8" s="22">
        <v>173051.51006579207</v>
      </c>
      <c r="K8" s="22">
        <v>0</v>
      </c>
      <c r="L8" s="23">
        <f t="shared" si="2"/>
        <v>173051.51006579207</v>
      </c>
      <c r="M8" s="22">
        <v>173051.51006579207</v>
      </c>
      <c r="N8" s="22">
        <v>0</v>
      </c>
      <c r="O8" s="23">
        <f t="shared" si="3"/>
        <v>173051.51006579207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363591.71953848749</v>
      </c>
      <c r="E9" s="22">
        <v>0</v>
      </c>
      <c r="F9" s="23">
        <f t="shared" si="0"/>
        <v>363591.71953848749</v>
      </c>
      <c r="G9" s="22">
        <v>373860.93109001394</v>
      </c>
      <c r="H9" s="22">
        <v>0</v>
      </c>
      <c r="I9" s="23">
        <f t="shared" si="1"/>
        <v>373860.93109001394</v>
      </c>
      <c r="J9" s="22">
        <v>373860.93109001394</v>
      </c>
      <c r="K9" s="22">
        <v>0</v>
      </c>
      <c r="L9" s="23">
        <f t="shared" si="2"/>
        <v>373860.93109001394</v>
      </c>
      <c r="M9" s="22">
        <v>373860.93109001394</v>
      </c>
      <c r="N9" s="22">
        <v>0</v>
      </c>
      <c r="O9" s="23">
        <f t="shared" si="3"/>
        <v>373860.93109001394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3543.8824011218808</v>
      </c>
      <c r="E11" s="22">
        <v>0</v>
      </c>
      <c r="F11" s="23">
        <f t="shared" si="0"/>
        <v>3543.8824011218808</v>
      </c>
      <c r="G11" s="22">
        <v>3543.8824011218808</v>
      </c>
      <c r="H11" s="22">
        <v>0</v>
      </c>
      <c r="I11" s="23">
        <f t="shared" si="1"/>
        <v>3543.8824011218808</v>
      </c>
      <c r="J11" s="22">
        <v>3543.8824011218808</v>
      </c>
      <c r="K11" s="22">
        <v>0</v>
      </c>
      <c r="L11" s="23">
        <f t="shared" si="2"/>
        <v>3543.8824011218808</v>
      </c>
      <c r="M11" s="22">
        <v>3543.8824011218808</v>
      </c>
      <c r="N11" s="22">
        <v>0</v>
      </c>
      <c r="O11" s="23">
        <f t="shared" si="3"/>
        <v>3543.8824011218808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88867.233217149129</v>
      </c>
      <c r="E13" s="22">
        <v>0</v>
      </c>
      <c r="F13" s="23">
        <f t="shared" si="0"/>
        <v>88867.233217149129</v>
      </c>
      <c r="G13" s="22">
        <v>88778.45476238674</v>
      </c>
      <c r="H13" s="22">
        <v>0</v>
      </c>
      <c r="I13" s="23">
        <f t="shared" si="1"/>
        <v>88778.45476238674</v>
      </c>
      <c r="J13" s="22">
        <v>88778.45476238674</v>
      </c>
      <c r="K13" s="22">
        <v>0</v>
      </c>
      <c r="L13" s="23">
        <f>J13+K13</f>
        <v>88778.45476238674</v>
      </c>
      <c r="M13" s="22">
        <v>88778.45476238674</v>
      </c>
      <c r="N13" s="22">
        <v>0</v>
      </c>
      <c r="O13" s="23">
        <f t="shared" si="3"/>
        <v>88778.45476238674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53320.339930289476</v>
      </c>
      <c r="E15" s="22">
        <v>0</v>
      </c>
      <c r="F15" s="23">
        <f t="shared" si="0"/>
        <v>53320.339930289476</v>
      </c>
      <c r="G15" s="22">
        <v>53267.072857432046</v>
      </c>
      <c r="H15" s="22">
        <v>0</v>
      </c>
      <c r="I15" s="23">
        <f t="shared" ref="I15:I16" si="4">G15+H15</f>
        <v>53267.072857432046</v>
      </c>
      <c r="J15" s="22">
        <v>53267.072857432046</v>
      </c>
      <c r="K15" s="22">
        <v>0</v>
      </c>
      <c r="L15" s="23">
        <f t="shared" ref="L15:L16" si="5">J15+K15</f>
        <v>53267.072857432046</v>
      </c>
      <c r="M15" s="22">
        <v>53267.072857432046</v>
      </c>
      <c r="N15" s="22">
        <v>0</v>
      </c>
      <c r="O15" s="23">
        <f t="shared" ref="O15:O16" si="6">M15+N15</f>
        <v>53267.072857432046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2651.6864546244619</v>
      </c>
      <c r="E16" s="22">
        <v>0</v>
      </c>
      <c r="F16" s="23">
        <f t="shared" si="0"/>
        <v>2651.6864546244619</v>
      </c>
      <c r="G16" s="22">
        <v>2649.0374172072552</v>
      </c>
      <c r="H16" s="22">
        <v>0</v>
      </c>
      <c r="I16" s="23">
        <f t="shared" si="4"/>
        <v>2649.0374172072552</v>
      </c>
      <c r="J16" s="22">
        <v>2649.0374172072552</v>
      </c>
      <c r="K16" s="22">
        <v>0</v>
      </c>
      <c r="L16" s="23">
        <f t="shared" si="5"/>
        <v>2649.0374172072552</v>
      </c>
      <c r="M16" s="22">
        <v>2649.0374172072552</v>
      </c>
      <c r="N16" s="22">
        <v>0</v>
      </c>
      <c r="O16" s="23">
        <f t="shared" si="6"/>
        <v>2649.0374172072552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1750.1130600521449</v>
      </c>
      <c r="E19" s="22">
        <v>0</v>
      </c>
      <c r="F19" s="23">
        <f t="shared" si="0"/>
        <v>1750.1130600521449</v>
      </c>
      <c r="G19" s="22">
        <v>1748.3646953567886</v>
      </c>
      <c r="H19" s="22">
        <v>0</v>
      </c>
      <c r="I19" s="23">
        <f t="shared" ref="I19:I20" si="7">G19+H19</f>
        <v>1748.3646953567886</v>
      </c>
      <c r="J19" s="22">
        <v>1748.3646953567886</v>
      </c>
      <c r="K19" s="22">
        <v>0</v>
      </c>
      <c r="L19" s="23">
        <f t="shared" ref="L19:L20" si="8">J19+K19</f>
        <v>1748.3646953567886</v>
      </c>
      <c r="M19" s="32">
        <v>1748.3646953567886</v>
      </c>
      <c r="N19" s="33">
        <v>0</v>
      </c>
      <c r="O19" s="23">
        <f t="shared" ref="O19:O20" si="9">M19+N19</f>
        <v>1748.3646953567886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22">
        <v>0</v>
      </c>
      <c r="F20" s="23">
        <f t="shared" si="0"/>
        <v>0</v>
      </c>
      <c r="G20" s="22">
        <v>195935.02564101078</v>
      </c>
      <c r="H20" s="22">
        <v>0</v>
      </c>
      <c r="I20" s="23">
        <f t="shared" si="7"/>
        <v>195935.02564101078</v>
      </c>
      <c r="J20" s="22">
        <v>37182.827375000001</v>
      </c>
      <c r="K20" s="22">
        <v>0</v>
      </c>
      <c r="L20" s="23">
        <f t="shared" si="8"/>
        <v>37182.827375000001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/>
      <c r="F21" s="23">
        <f>E21</f>
        <v>0</v>
      </c>
      <c r="G21" s="34"/>
      <c r="H21" s="22"/>
      <c r="I21" s="23">
        <f>H21</f>
        <v>0</v>
      </c>
      <c r="J21" s="34"/>
      <c r="K21" s="22"/>
      <c r="L21" s="23">
        <f>K21</f>
        <v>0</v>
      </c>
      <c r="M21" s="34"/>
      <c r="N21" s="22"/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>
        <v>55285</v>
      </c>
      <c r="K22" s="22">
        <v>0</v>
      </c>
      <c r="L22" s="36">
        <f t="shared" ref="L22" si="11">J22+K22</f>
        <v>55285</v>
      </c>
      <c r="M22" s="22">
        <v>181618</v>
      </c>
      <c r="N22" s="22">
        <v>0</v>
      </c>
      <c r="O22" s="36">
        <f t="shared" ref="O22" si="12">M22+N22</f>
        <v>181618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773897.36351612327</v>
      </c>
      <c r="E23" s="38">
        <f>E6+E7+E8+E9+E10+E11+E12-E15-E19+E20+E21</f>
        <v>0</v>
      </c>
      <c r="F23" s="38">
        <f>D23+E23</f>
        <v>773897.36351612327</v>
      </c>
      <c r="G23" s="38">
        <f>G6+G7+G8+G9+G10+G11+G12-G15-G19+G20+G22</f>
        <v>999789.1369816144</v>
      </c>
      <c r="H23" s="38">
        <f>H6+H7+H8+H9+H10+H11+H12-H15-H19+H20+H21+H22</f>
        <v>0</v>
      </c>
      <c r="I23" s="38">
        <f>G23+H23</f>
        <v>999789.1369816144</v>
      </c>
      <c r="J23" s="38">
        <f>J6+J7+J8+J9+J10+J11+J12-J15-J19+J20+J22</f>
        <v>896321.93871560355</v>
      </c>
      <c r="K23" s="38">
        <f>K6+K7+K8+K9+K10+K11+K12-K15-K19+K20+K21+K22</f>
        <v>0</v>
      </c>
      <c r="L23" s="38">
        <f>J23+K23</f>
        <v>896321.93871560355</v>
      </c>
      <c r="M23" s="38">
        <f>M6+M7+M8+M9+M10+M11+M12-M15-M19+M20+M22</f>
        <v>985472.11134060356</v>
      </c>
      <c r="N23" s="38">
        <f>N6+N7+N8+N9+N10+N11+N12-N15-N19+N20+N21+N22</f>
        <v>0</v>
      </c>
      <c r="O23" s="38">
        <f>M23+N23</f>
        <v>985472.11134060356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190180.19318524012</v>
      </c>
      <c r="E25" s="44">
        <v>0</v>
      </c>
      <c r="F25" s="45">
        <f t="shared" ref="F25:F44" si="13">D25+E25</f>
        <v>190180.19318524012</v>
      </c>
      <c r="G25" s="44">
        <v>198787.17866658329</v>
      </c>
      <c r="H25" s="44">
        <v>0</v>
      </c>
      <c r="I25" s="45">
        <f t="shared" ref="I25:I33" si="14">G25+H25</f>
        <v>198787.17866658329</v>
      </c>
      <c r="J25" s="44">
        <v>198787.17866658329</v>
      </c>
      <c r="K25" s="44">
        <v>0</v>
      </c>
      <c r="L25" s="45">
        <f t="shared" ref="L25:L44" si="15">J25+K25</f>
        <v>198787.17866658329</v>
      </c>
      <c r="M25" s="44">
        <v>198787.17866658329</v>
      </c>
      <c r="N25" s="44">
        <v>0</v>
      </c>
      <c r="O25" s="45">
        <f t="shared" ref="O25:O43" si="16">M25+N25</f>
        <v>198787.17866658329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40754.345022835361</v>
      </c>
      <c r="E26" s="22">
        <v>0</v>
      </c>
      <c r="F26" s="36">
        <f t="shared" si="13"/>
        <v>40754.345022835361</v>
      </c>
      <c r="G26" s="22">
        <v>41948.211268448867</v>
      </c>
      <c r="H26" s="22">
        <v>0</v>
      </c>
      <c r="I26" s="36">
        <f t="shared" si="14"/>
        <v>41948.211268448867</v>
      </c>
      <c r="J26" s="22">
        <v>41948.211268448867</v>
      </c>
      <c r="K26" s="22">
        <v>0</v>
      </c>
      <c r="L26" s="36">
        <f t="shared" si="15"/>
        <v>41948.211268448867</v>
      </c>
      <c r="M26" s="22">
        <v>41948.211268448867</v>
      </c>
      <c r="N26" s="22">
        <v>0</v>
      </c>
      <c r="O26" s="36">
        <f t="shared" si="16"/>
        <v>41948.211268448867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110744.20944830751</v>
      </c>
      <c r="E27" s="47">
        <v>0</v>
      </c>
      <c r="F27" s="48">
        <f t="shared" si="13"/>
        <v>110744.20944830751</v>
      </c>
      <c r="G27" s="47">
        <v>115008.56874172589</v>
      </c>
      <c r="H27" s="47">
        <v>0</v>
      </c>
      <c r="I27" s="48">
        <f t="shared" si="14"/>
        <v>115008.56874172589</v>
      </c>
      <c r="J27" s="47">
        <v>115008.56874172589</v>
      </c>
      <c r="K27" s="47">
        <v>0</v>
      </c>
      <c r="L27" s="48">
        <f t="shared" si="15"/>
        <v>115008.56874172589</v>
      </c>
      <c r="M27" s="47">
        <v>115008.56874172589</v>
      </c>
      <c r="N27" s="47">
        <v>0</v>
      </c>
      <c r="O27" s="48">
        <f t="shared" si="16"/>
        <v>115008.56874172589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11402.025805903206</v>
      </c>
      <c r="E29" s="47">
        <v>0</v>
      </c>
      <c r="F29" s="48">
        <f t="shared" si="13"/>
        <v>11402.025805903206</v>
      </c>
      <c r="G29" s="47">
        <v>11483.939764500823</v>
      </c>
      <c r="H29" s="47">
        <v>0</v>
      </c>
      <c r="I29" s="48">
        <f t="shared" si="14"/>
        <v>11483.939764500823</v>
      </c>
      <c r="J29" s="47">
        <v>11483.939764500823</v>
      </c>
      <c r="K29" s="47">
        <v>0</v>
      </c>
      <c r="L29" s="48">
        <f t="shared" si="15"/>
        <v>11483.939764500823</v>
      </c>
      <c r="M29" s="47">
        <v>11483.939764500823</v>
      </c>
      <c r="N29" s="47">
        <v>0</v>
      </c>
      <c r="O29" s="48">
        <f t="shared" si="16"/>
        <v>11483.939764500823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162900.58027704607</v>
      </c>
      <c r="E30" s="51">
        <f>+E26+E27+E28+E29</f>
        <v>0</v>
      </c>
      <c r="F30" s="52">
        <f t="shared" si="13"/>
        <v>162900.58027704607</v>
      </c>
      <c r="G30" s="51">
        <f>+G26+G27+G28+G29</f>
        <v>168440.71977467558</v>
      </c>
      <c r="H30" s="51">
        <f>+H26+H27+H28+H29</f>
        <v>0</v>
      </c>
      <c r="I30" s="52">
        <f t="shared" si="14"/>
        <v>168440.71977467558</v>
      </c>
      <c r="J30" s="51">
        <f>+J26+J27+J28+J29</f>
        <v>168440.71977467558</v>
      </c>
      <c r="K30" s="51">
        <f>+K26+K27+K28+K29</f>
        <v>0</v>
      </c>
      <c r="L30" s="52">
        <f t="shared" si="15"/>
        <v>168440.71977467558</v>
      </c>
      <c r="M30" s="51">
        <f>+M26+M27+M28+M29</f>
        <v>168440.71977467558</v>
      </c>
      <c r="N30" s="51">
        <f>+N26+N27+N28+N29</f>
        <v>0</v>
      </c>
      <c r="O30" s="52">
        <f t="shared" si="16"/>
        <v>168440.71977467558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78153.798044387033</v>
      </c>
      <c r="E31" s="53">
        <v>0</v>
      </c>
      <c r="F31" s="48">
        <f t="shared" si="13"/>
        <v>78153.798044387033</v>
      </c>
      <c r="G31" s="147">
        <f>VLOOKUP($A$1,REM_ToolEnrico!$B$5:$J$38,4,FALSE)</f>
        <v>65174.331211807708</v>
      </c>
      <c r="H31" s="53">
        <v>0</v>
      </c>
      <c r="I31" s="48">
        <f t="shared" si="14"/>
        <v>65174.331211807708</v>
      </c>
      <c r="J31" s="147">
        <f>VLOOKUP($A$1,REM_ToolEnrico!$B$5:$J$38,6,FALSE)</f>
        <v>39374.11176206504</v>
      </c>
      <c r="K31" s="53">
        <v>0</v>
      </c>
      <c r="L31" s="48">
        <f t="shared" si="15"/>
        <v>39374.11176206504</v>
      </c>
      <c r="M31" s="147">
        <f>VLOOKUP($A$1,REM_ToolEnrico!$B$5:$J$38,8,FALSE)</f>
        <v>41693.78124972817</v>
      </c>
      <c r="N31" s="53">
        <v>0</v>
      </c>
      <c r="O31" s="48">
        <f t="shared" si="16"/>
        <v>41693.78124972817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99285.507431043909</v>
      </c>
      <c r="E32" s="54">
        <f>+E33+E34+E35+E36</f>
        <v>0</v>
      </c>
      <c r="F32" s="48">
        <f t="shared" si="13"/>
        <v>99285.507431043909</v>
      </c>
      <c r="G32" s="54">
        <f>+G33+G34+G35+G36</f>
        <v>99186.321109933982</v>
      </c>
      <c r="H32" s="54">
        <f>+H33+H34+H35+H36</f>
        <v>0</v>
      </c>
      <c r="I32" s="48">
        <f t="shared" si="14"/>
        <v>99186.321109933982</v>
      </c>
      <c r="J32" s="54">
        <f>+J33+J34+J35+J36</f>
        <v>99186.321109933982</v>
      </c>
      <c r="K32" s="54">
        <f>+K33+K34+K35+K36</f>
        <v>0</v>
      </c>
      <c r="L32" s="48">
        <f t="shared" si="15"/>
        <v>99186.321109933982</v>
      </c>
      <c r="M32" s="54">
        <f>+M33+M34+M35+M36</f>
        <v>99186.321109933982</v>
      </c>
      <c r="N32" s="54">
        <f>+N33+N34+N35+N36</f>
        <v>0</v>
      </c>
      <c r="O32" s="48">
        <f t="shared" si="16"/>
        <v>99186.321109933982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99285.507431043909</v>
      </c>
      <c r="E34" s="47">
        <v>0</v>
      </c>
      <c r="F34" s="48">
        <f>D34+E34</f>
        <v>99285.507431043909</v>
      </c>
      <c r="G34" s="47">
        <v>99186.321109933982</v>
      </c>
      <c r="H34" s="47">
        <v>0</v>
      </c>
      <c r="I34" s="48">
        <f>G34+H34</f>
        <v>99186.321109933982</v>
      </c>
      <c r="J34" s="47">
        <v>99186.321109933982</v>
      </c>
      <c r="K34" s="158">
        <v>0</v>
      </c>
      <c r="L34" s="48">
        <f t="shared" si="15"/>
        <v>99186.321109933982</v>
      </c>
      <c r="M34" s="47">
        <v>99186.321109933982</v>
      </c>
      <c r="N34" s="158">
        <v>0</v>
      </c>
      <c r="O34" s="48">
        <f t="shared" si="16"/>
        <v>99186.321109933982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23828.27136024199</v>
      </c>
      <c r="E37" s="47">
        <v>0</v>
      </c>
      <c r="F37" s="48">
        <f t="shared" si="13"/>
        <v>23828.27136024199</v>
      </c>
      <c r="G37" s="147">
        <f>VLOOKUP($A$1,REM_ToolEnrico!$B$5:$J$38,5,FALSE)</f>
        <v>19653.557279696652</v>
      </c>
      <c r="H37" s="47">
        <v>0</v>
      </c>
      <c r="I37" s="48">
        <f t="shared" si="17"/>
        <v>19653.557279696652</v>
      </c>
      <c r="J37" s="147">
        <f>VLOOKUP($A$1,REM_ToolEnrico!$B$5:$J$38,7,FALSE)</f>
        <v>18819.643065322285</v>
      </c>
      <c r="K37" s="47">
        <v>0</v>
      </c>
      <c r="L37" s="48">
        <f t="shared" si="15"/>
        <v>18819.643065322285</v>
      </c>
      <c r="M37" s="147">
        <f>VLOOKUP($A$1,REM_ToolEnrico!$B$5:$J$38,9,FALSE)</f>
        <v>19162.167785242626</v>
      </c>
      <c r="N37" s="47">
        <v>0</v>
      </c>
      <c r="O37" s="48">
        <f t="shared" si="16"/>
        <v>19162.167785242626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178.3105308450445</v>
      </c>
      <c r="E38" s="47">
        <v>0</v>
      </c>
      <c r="F38" s="48">
        <f t="shared" si="13"/>
        <v>178.3105308450445</v>
      </c>
      <c r="G38" s="47">
        <v>178.66715190673455</v>
      </c>
      <c r="H38" s="47">
        <v>0</v>
      </c>
      <c r="I38" s="48">
        <f t="shared" si="17"/>
        <v>178.66715190673455</v>
      </c>
      <c r="J38" s="47">
        <v>178.66715190673455</v>
      </c>
      <c r="K38" s="47">
        <v>0</v>
      </c>
      <c r="L38" s="48">
        <f t="shared" si="15"/>
        <v>178.66715190673455</v>
      </c>
      <c r="M38" s="47">
        <v>178.66715190673455</v>
      </c>
      <c r="N38" s="47">
        <v>0</v>
      </c>
      <c r="O38" s="48">
        <f t="shared" si="16"/>
        <v>178.66715190673455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201445.88736651797</v>
      </c>
      <c r="E40" s="51">
        <f>E38+E37+E32+E31+E39</f>
        <v>0</v>
      </c>
      <c r="F40" s="52">
        <f t="shared" si="13"/>
        <v>201445.88736651797</v>
      </c>
      <c r="G40" s="51">
        <f>G38+G37+G32+G31+G39</f>
        <v>184192.87675334507</v>
      </c>
      <c r="H40" s="51">
        <f>H38+H37+H32+H31+H39</f>
        <v>0</v>
      </c>
      <c r="I40" s="52">
        <f t="shared" si="17"/>
        <v>184192.87675334507</v>
      </c>
      <c r="J40" s="51">
        <f>J38+J37+J32+J31+J39</f>
        <v>157558.74308922805</v>
      </c>
      <c r="K40" s="51">
        <f>K38+K37+K32+K31+K39</f>
        <v>0</v>
      </c>
      <c r="L40" s="52">
        <f t="shared" si="15"/>
        <v>157558.74308922805</v>
      </c>
      <c r="M40" s="51">
        <f>M38+M37+M32+M31+M39</f>
        <v>160220.93729681152</v>
      </c>
      <c r="N40" s="51">
        <f>N38+N37+N32+N31+N39</f>
        <v>0</v>
      </c>
      <c r="O40" s="52">
        <f t="shared" si="16"/>
        <v>160220.93729681152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5878.119609327493</v>
      </c>
      <c r="E42" s="22">
        <v>0</v>
      </c>
      <c r="F42" s="36">
        <f t="shared" si="13"/>
        <v>5878.119609327493</v>
      </c>
      <c r="G42" s="22">
        <v>11075.813797639583</v>
      </c>
      <c r="H42" s="22">
        <v>0</v>
      </c>
      <c r="I42" s="36">
        <f t="shared" si="17"/>
        <v>11075.813797639583</v>
      </c>
      <c r="J42" s="22">
        <v>11075.813797639583</v>
      </c>
      <c r="K42" s="22">
        <v>0</v>
      </c>
      <c r="L42" s="36">
        <f t="shared" si="15"/>
        <v>11075.813797639583</v>
      </c>
      <c r="M42" s="22">
        <v>11075.813797639583</v>
      </c>
      <c r="N42" s="22">
        <v>0</v>
      </c>
      <c r="O42" s="36">
        <f t="shared" si="16"/>
        <v>11075.813797639583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-52212.389438371785</v>
      </c>
      <c r="E44" s="57">
        <v>0</v>
      </c>
      <c r="F44" s="36">
        <f t="shared" si="13"/>
        <v>-52212.389438371785</v>
      </c>
      <c r="G44" s="57">
        <v>0</v>
      </c>
      <c r="H44" s="57">
        <v>0</v>
      </c>
      <c r="I44" s="36">
        <f t="shared" si="17"/>
        <v>0</v>
      </c>
      <c r="J44" s="57">
        <v>0</v>
      </c>
      <c r="K44" s="57">
        <v>0</v>
      </c>
      <c r="L44" s="36">
        <f t="shared" si="15"/>
        <v>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508192.3909997599</v>
      </c>
      <c r="E47" s="59">
        <f>E25+E30+E40+E41+E42+E43+E44+E45</f>
        <v>0</v>
      </c>
      <c r="F47" s="60">
        <f>D47+E47</f>
        <v>508192.3909997599</v>
      </c>
      <c r="G47" s="59">
        <f>G25+G30+G40+G41+G42+G43+G44+G46</f>
        <v>562496.58899224352</v>
      </c>
      <c r="H47" s="59">
        <f>H25+H30+H40+H41+H42+H43+H44+H45+H46</f>
        <v>0</v>
      </c>
      <c r="I47" s="60">
        <f>G47+H47</f>
        <v>562496.58899224352</v>
      </c>
      <c r="J47" s="59">
        <f>J25+J30+J40+J41+J42+J43+J44+J46</f>
        <v>535862.45532812655</v>
      </c>
      <c r="K47" s="59">
        <f>K25+K30+K40+K41+K42+K43+K44+K45+K46</f>
        <v>0</v>
      </c>
      <c r="L47" s="60">
        <f>J47+K47</f>
        <v>535862.45532812655</v>
      </c>
      <c r="M47" s="59">
        <f>M25+M30+M40+M41+M42+M43+M44+M46</f>
        <v>538524.64953570999</v>
      </c>
      <c r="N47" s="59">
        <f>N25+N30+N40+N41+N42+N43+N44+N45+N46</f>
        <v>0</v>
      </c>
      <c r="O47" s="60">
        <f>M47+N47</f>
        <v>538524.64953570999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1282089.754515883</v>
      </c>
      <c r="E49" s="65">
        <v>0</v>
      </c>
      <c r="F49" s="65">
        <f>D49+E49</f>
        <v>1282089.754515883</v>
      </c>
      <c r="G49" s="65">
        <f>G50</f>
        <v>1562285.725973858</v>
      </c>
      <c r="H49" s="65">
        <v>0</v>
      </c>
      <c r="I49" s="65">
        <f t="shared" ref="I49" si="21">G49+H49</f>
        <v>1562285.725973858</v>
      </c>
      <c r="J49" s="65">
        <f>J50</f>
        <v>1432184.3940437301</v>
      </c>
      <c r="K49" s="65">
        <v>0</v>
      </c>
      <c r="L49" s="65">
        <f t="shared" ref="L49" si="22">J49+K49</f>
        <v>1432184.3940437301</v>
      </c>
      <c r="M49" s="65">
        <f>M50</f>
        <v>1523996.7608763136</v>
      </c>
      <c r="N49" s="65">
        <v>0</v>
      </c>
      <c r="O49" s="65">
        <f t="shared" ref="O49" si="23">M49+N49</f>
        <v>1523996.7608763136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1282089.754515883</v>
      </c>
      <c r="E50" s="59">
        <f t="shared" si="24"/>
        <v>0</v>
      </c>
      <c r="F50" s="59">
        <f t="shared" si="24"/>
        <v>1282089.754515883</v>
      </c>
      <c r="G50" s="59">
        <f>+G23+G47</f>
        <v>1562285.725973858</v>
      </c>
      <c r="H50" s="59">
        <f t="shared" si="24"/>
        <v>0</v>
      </c>
      <c r="I50" s="59">
        <f t="shared" si="24"/>
        <v>1562285.725973858</v>
      </c>
      <c r="J50" s="59">
        <f t="shared" si="24"/>
        <v>1432184.3940437301</v>
      </c>
      <c r="K50" s="59">
        <f>+K23+K47</f>
        <v>0</v>
      </c>
      <c r="L50" s="59">
        <f t="shared" si="24"/>
        <v>1432184.3940437301</v>
      </c>
      <c r="M50" s="59">
        <f>+M23+M47</f>
        <v>1523996.7608763136</v>
      </c>
      <c r="N50" s="59">
        <f t="shared" si="24"/>
        <v>0</v>
      </c>
      <c r="O50" s="59">
        <f t="shared" si="24"/>
        <v>1523996.7608763136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-52212.389438371785</v>
      </c>
      <c r="E51" s="68"/>
      <c r="F51" s="146"/>
      <c r="G51" s="68">
        <f>G44+G20</f>
        <v>195935.02564101078</v>
      </c>
      <c r="H51" s="68"/>
      <c r="I51" s="146"/>
      <c r="J51" s="68">
        <f>J44+J20</f>
        <v>37182.827375000001</v>
      </c>
      <c r="K51" s="68"/>
      <c r="L51" s="146"/>
      <c r="M51" s="68">
        <f>M44+M20</f>
        <v>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0.80259999999999987</v>
      </c>
      <c r="G53" s="72"/>
      <c r="H53" s="73"/>
      <c r="I53" s="74">
        <v>0.80259999999999987</v>
      </c>
      <c r="J53" s="72"/>
      <c r="K53" s="73"/>
      <c r="L53" s="74">
        <v>0.80259999999999987</v>
      </c>
      <c r="M53" s="72"/>
      <c r="N53" s="73"/>
      <c r="O53" s="74">
        <v>0.80259999999999987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3726.8530000000001</v>
      </c>
      <c r="G54" s="34"/>
      <c r="H54" s="76"/>
      <c r="I54" s="77">
        <v>3726.8530000000001</v>
      </c>
      <c r="J54" s="34"/>
      <c r="K54" s="76"/>
      <c r="L54" s="77">
        <v>3726.8530000000001</v>
      </c>
      <c r="M54" s="34"/>
      <c r="N54" s="76"/>
      <c r="O54" s="77">
        <v>3726.8530000000001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34.257332567124998</v>
      </c>
      <c r="G55" s="34"/>
      <c r="H55" s="76"/>
      <c r="I55" s="78">
        <v>31.81322611865831</v>
      </c>
      <c r="J55" s="34"/>
      <c r="K55" s="76"/>
      <c r="L55" s="78">
        <v>33.881085816371098</v>
      </c>
      <c r="M55" s="34"/>
      <c r="N55" s="76"/>
      <c r="O55" s="78">
        <v>36.083356394435221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30.582238734870852</v>
      </c>
      <c r="G56" s="81"/>
      <c r="H56" s="82"/>
      <c r="I56" s="78">
        <v>30.582238734870852</v>
      </c>
      <c r="J56" s="81"/>
      <c r="K56" s="82"/>
      <c r="L56" s="78">
        <v>30.582238734870852</v>
      </c>
      <c r="M56" s="81"/>
      <c r="N56" s="82"/>
      <c r="O56" s="78">
        <v>30.582238734870852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0</v>
      </c>
      <c r="G60" s="90"/>
      <c r="H60" s="76"/>
      <c r="I60" s="89">
        <v>0</v>
      </c>
      <c r="J60" s="34"/>
      <c r="K60" s="91"/>
      <c r="L60" s="89">
        <v>0</v>
      </c>
      <c r="M60" s="34"/>
      <c r="N60" s="76"/>
      <c r="O60" s="89">
        <v>0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0</v>
      </c>
      <c r="G61" s="90"/>
      <c r="H61" s="76"/>
      <c r="I61" s="92">
        <v>0</v>
      </c>
      <c r="J61" s="34"/>
      <c r="K61" s="76"/>
      <c r="L61" s="93">
        <v>0</v>
      </c>
      <c r="M61" s="34"/>
      <c r="N61" s="76"/>
      <c r="O61" s="92">
        <v>0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1</v>
      </c>
      <c r="G62" s="95"/>
      <c r="H62" s="82"/>
      <c r="I62" s="94">
        <v>1</v>
      </c>
      <c r="J62" s="81"/>
      <c r="K62" s="82"/>
      <c r="L62" s="94">
        <v>1</v>
      </c>
      <c r="M62" s="81"/>
      <c r="N62" s="82"/>
      <c r="O62" s="94">
        <v>1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1282089.754515883</v>
      </c>
      <c r="G72" s="34"/>
      <c r="H72" s="76"/>
      <c r="I72" s="108">
        <f>I50</f>
        <v>1562285.725973858</v>
      </c>
      <c r="J72" s="34"/>
      <c r="K72" s="76"/>
      <c r="L72" s="108">
        <f>L50</f>
        <v>1432184.3940437301</v>
      </c>
      <c r="M72" s="34"/>
      <c r="N72" s="76"/>
      <c r="O72" s="108">
        <f>O50</f>
        <v>1523996.7608763136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920964.93475673173</v>
      </c>
      <c r="G73" s="34"/>
      <c r="H73" s="76"/>
      <c r="I73" s="110">
        <f>F81</f>
        <v>754505.87218024093</v>
      </c>
      <c r="J73" s="34"/>
      <c r="K73" s="76"/>
      <c r="L73" s="110">
        <f>I81</f>
        <v>782277.06129445694</v>
      </c>
      <c r="M73" s="34"/>
      <c r="N73" s="76"/>
      <c r="O73" s="110">
        <f>L81</f>
        <v>896321.48222720937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264667.23724326899</v>
      </c>
      <c r="G74" s="34"/>
      <c r="H74" s="76"/>
      <c r="I74" s="110">
        <f>F82</f>
        <v>508192.39099975978</v>
      </c>
      <c r="J74" s="34"/>
      <c r="K74" s="76"/>
      <c r="L74" s="110">
        <f>I82</f>
        <v>562496.58899224363</v>
      </c>
      <c r="M74" s="34"/>
      <c r="N74" s="76"/>
      <c r="O74" s="110">
        <f>L82</f>
        <v>535862.45532812655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1185632.1720000007</v>
      </c>
      <c r="G75" s="34"/>
      <c r="H75" s="76"/>
      <c r="I75" s="111">
        <f>SUM(I73:I74)</f>
        <v>1262698.2631800007</v>
      </c>
      <c r="J75" s="34"/>
      <c r="K75" s="76"/>
      <c r="L75" s="111">
        <f>SUM(L73:L74)</f>
        <v>1344773.6502867006</v>
      </c>
      <c r="M75" s="34"/>
      <c r="N75" s="76"/>
      <c r="O75" s="111">
        <f>SUM(O73:O74)</f>
        <v>1432183.9375553359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1.0813554024543477</v>
      </c>
      <c r="G76" s="81"/>
      <c r="H76" s="82"/>
      <c r="I76" s="112">
        <f>I72/I75</f>
        <v>1.2372597409292154</v>
      </c>
      <c r="J76" s="81"/>
      <c r="K76" s="82"/>
      <c r="L76" s="112">
        <f>L72/L75</f>
        <v>1.065000339453702</v>
      </c>
      <c r="M76" s="81"/>
      <c r="N76" s="82"/>
      <c r="O76" s="112">
        <f>O72/O75</f>
        <v>1.0641068656849324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1262698.2631800007</v>
      </c>
      <c r="G78" s="73"/>
      <c r="H78" s="73"/>
      <c r="I78" s="115">
        <f>IF(I72&lt;=I75*I71,I72,I75*I71)</f>
        <v>1344773.6502867006</v>
      </c>
      <c r="J78" s="73"/>
      <c r="K78" s="73"/>
      <c r="L78" s="115">
        <f>IF(L72&lt;=L75*L71,L72,L75*L71)</f>
        <v>1432183.9375553359</v>
      </c>
      <c r="M78" s="73"/>
      <c r="N78" s="73"/>
      <c r="O78" s="115">
        <f>IF(O72&lt;=O75*O71,O72,O75*O71)</f>
        <v>1523996.7608763136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19391.49133588234</v>
      </c>
      <c r="G79" s="34"/>
      <c r="H79" s="76"/>
      <c r="I79" s="117">
        <f>IF(I76&lt;=I71,0,I72-I78)</f>
        <v>217512.07568715746</v>
      </c>
      <c r="J79" s="82"/>
      <c r="K79" s="82"/>
      <c r="L79" s="117">
        <f>IF(L76&lt;=L71,0,L72-L78)</f>
        <v>0.45648839417845011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754505.87218024093</v>
      </c>
      <c r="E81" s="120">
        <f>E23</f>
        <v>0</v>
      </c>
      <c r="F81" s="115">
        <f>D81+E81</f>
        <v>754505.87218024093</v>
      </c>
      <c r="G81" s="119">
        <f>G23-I79</f>
        <v>782277.06129445694</v>
      </c>
      <c r="H81" s="120">
        <f>H23</f>
        <v>0</v>
      </c>
      <c r="I81" s="115">
        <f>G81+H81</f>
        <v>782277.06129445694</v>
      </c>
      <c r="J81" s="119">
        <f>J23-L79</f>
        <v>896321.48222720937</v>
      </c>
      <c r="K81" s="120">
        <f>K23</f>
        <v>0</v>
      </c>
      <c r="L81" s="115">
        <f>J81+K81</f>
        <v>896321.48222720937</v>
      </c>
      <c r="M81" s="119">
        <f>M23-O79</f>
        <v>985472.11134060356</v>
      </c>
      <c r="N81" s="120">
        <f>N23</f>
        <v>0</v>
      </c>
      <c r="O81" s="115">
        <f>M81+N81</f>
        <v>985472.11134060356</v>
      </c>
    </row>
    <row r="82" spans="1:52" s="14" customFormat="1" ht="20" customHeight="1" thickBot="1">
      <c r="B82" s="118" t="s">
        <v>72</v>
      </c>
      <c r="D82" s="121">
        <f>D50-D81-F79</f>
        <v>508192.39099975978</v>
      </c>
      <c r="E82" s="122">
        <f>E50-E81</f>
        <v>0</v>
      </c>
      <c r="F82" s="123">
        <f>D82+E82</f>
        <v>508192.39099975978</v>
      </c>
      <c r="G82" s="121">
        <f>G49-G81-I79</f>
        <v>562496.58899224363</v>
      </c>
      <c r="H82" s="122">
        <f>H50-H81</f>
        <v>0</v>
      </c>
      <c r="I82" s="123">
        <f>G82+H82</f>
        <v>562496.58899224363</v>
      </c>
      <c r="J82" s="121">
        <f>J50-J81-L79</f>
        <v>535862.45532812655</v>
      </c>
      <c r="K82" s="122">
        <f>K50-K81</f>
        <v>0</v>
      </c>
      <c r="L82" s="123">
        <f>J82+K82</f>
        <v>535862.45532812655</v>
      </c>
      <c r="M82" s="121">
        <f>M49-M81-O79</f>
        <v>538524.64953570999</v>
      </c>
      <c r="N82" s="122">
        <f>N50-N81</f>
        <v>0</v>
      </c>
      <c r="O82" s="123">
        <f>M82+N82</f>
        <v>538524.64953570999</v>
      </c>
    </row>
    <row r="83" spans="1:52" s="124" customFormat="1" ht="17.25" customHeight="1" thickBot="1">
      <c r="B83" s="125" t="s">
        <v>73</v>
      </c>
      <c r="C83" s="14"/>
      <c r="D83" s="126">
        <f>SUM(D81:D82)</f>
        <v>1262698.2631800007</v>
      </c>
      <c r="E83" s="127">
        <f t="shared" ref="E83:O83" si="25">SUM(E81:E82)</f>
        <v>0</v>
      </c>
      <c r="F83" s="128">
        <f t="shared" si="25"/>
        <v>1262698.2631800007</v>
      </c>
      <c r="G83" s="126">
        <f t="shared" si="25"/>
        <v>1344773.6502867006</v>
      </c>
      <c r="H83" s="127">
        <f t="shared" si="25"/>
        <v>0</v>
      </c>
      <c r="I83" s="128">
        <f t="shared" si="25"/>
        <v>1344773.6502867006</v>
      </c>
      <c r="J83" s="126">
        <f t="shared" si="25"/>
        <v>1432183.9375553359</v>
      </c>
      <c r="K83" s="127">
        <f t="shared" si="25"/>
        <v>0</v>
      </c>
      <c r="L83" s="128">
        <f t="shared" si="25"/>
        <v>1432183.9375553359</v>
      </c>
      <c r="M83" s="126">
        <f t="shared" si="25"/>
        <v>1523996.7608763136</v>
      </c>
      <c r="N83" s="127">
        <f t="shared" si="25"/>
        <v>0</v>
      </c>
      <c r="O83" s="128">
        <f t="shared" si="25"/>
        <v>1523996.7608763136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754505.87218024093</v>
      </c>
      <c r="G88" s="72"/>
      <c r="H88" s="73"/>
      <c r="I88" s="136">
        <f>I81-I85</f>
        <v>782277.06129445694</v>
      </c>
      <c r="J88" s="72"/>
      <c r="K88" s="73"/>
      <c r="L88" s="136">
        <f>L81-L85</f>
        <v>896321.48222720937</v>
      </c>
      <c r="M88" s="72"/>
      <c r="N88" s="73"/>
      <c r="O88" s="136">
        <f>O81-O85</f>
        <v>985472.11134060356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508192.39099975978</v>
      </c>
      <c r="G89" s="34"/>
      <c r="H89" s="76"/>
      <c r="I89" s="138">
        <f>I82-I86</f>
        <v>562496.58899224363</v>
      </c>
      <c r="J89" s="34"/>
      <c r="K89" s="76"/>
      <c r="L89" s="138">
        <f>L82-L86</f>
        <v>535862.45532812655</v>
      </c>
      <c r="M89" s="34"/>
      <c r="N89" s="76"/>
      <c r="O89" s="138">
        <f>O82-O86</f>
        <v>538524.64953570999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1262698.2631800007</v>
      </c>
      <c r="G90" s="81"/>
      <c r="H90" s="82"/>
      <c r="I90" s="139">
        <f>+I88+I89</f>
        <v>1344773.6502867006</v>
      </c>
      <c r="J90" s="81"/>
      <c r="K90" s="82"/>
      <c r="L90" s="139">
        <f>+L88+L89</f>
        <v>1432183.9375553359</v>
      </c>
      <c r="M90" s="81"/>
      <c r="N90" s="82"/>
      <c r="O90" s="139">
        <f>+O88+O89</f>
        <v>1523996.7608763136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-183.05597765831408</v>
      </c>
      <c r="E92" s="143">
        <v>0</v>
      </c>
      <c r="F92" s="144">
        <f>D92+E92</f>
        <v>-183.05597765831408</v>
      </c>
      <c r="G92" s="142">
        <v>-8677.9276888207824</v>
      </c>
      <c r="H92" s="143">
        <v>0</v>
      </c>
      <c r="I92" s="144">
        <f>G92+H92</f>
        <v>-8677.9276888207824</v>
      </c>
      <c r="J92" s="142">
        <v>-8677.9276888207824</v>
      </c>
      <c r="K92" s="143">
        <v>0</v>
      </c>
      <c r="L92" s="144">
        <f>J92+K92</f>
        <v>-8677.9276888207824</v>
      </c>
      <c r="M92" s="142">
        <v>-8677.9276888207824</v>
      </c>
      <c r="N92" s="143">
        <v>0</v>
      </c>
      <c r="O92" s="144">
        <f>M92+N92</f>
        <v>-8677.9276888207824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1389372.5969445966</v>
      </c>
      <c r="E96" s="166">
        <f>E6+E7+E8+E9+E11+E25+E30+E40+E42+E21+E45</f>
        <v>0</v>
      </c>
      <c r="F96" s="166">
        <f t="shared" ref="F96" si="26">F6+F7+F8+F9+F11+F25+F30+F40+F42</f>
        <v>1389372.5969445966</v>
      </c>
      <c r="G96" s="166">
        <f t="shared" ref="G96" si="27">G6+G7+G8+G9+G11+G25+G30+G40+G42+G21+G45</f>
        <v>1421366.1378856362</v>
      </c>
      <c r="H96" s="166">
        <f t="shared" ref="H96" si="28">H6+H7+H8+H9+H11+H25+H30+H40+H42</f>
        <v>0</v>
      </c>
      <c r="I96" s="166">
        <f t="shared" ref="I96" si="29">I6+I7+I8+I9+I11+I25+I30+I40+I42+I21+I45</f>
        <v>1421366.1378856362</v>
      </c>
      <c r="J96" s="166">
        <f t="shared" ref="J96" si="30">J6+J7+J8+J9+J11+J25+J30+J40+J42</f>
        <v>1394732.004221519</v>
      </c>
      <c r="K96" s="166">
        <f t="shared" ref="K96" si="31">K6+K7+K8+K9+K11+K25+K30+K40+K42+K21+K45</f>
        <v>0</v>
      </c>
      <c r="L96" s="166">
        <f t="shared" ref="L96" si="32">L6+L7+L8+L9+L11+L25+L30+L40+L42</f>
        <v>1394732.004221519</v>
      </c>
      <c r="M96" s="166">
        <f t="shared" ref="M96" si="33">M6+M7+M8+M9+M11+M25+M30+M40+M42+M21+M45</f>
        <v>1397394.1984291025</v>
      </c>
      <c r="N96" s="166">
        <f t="shared" ref="N96" si="34">N6+N7+N8+N9+N11+N25+N30+N40+N42</f>
        <v>0</v>
      </c>
      <c r="O96" s="166">
        <f t="shared" ref="O96" si="35">O6+O7+O8+O9+O11+O25+O30+O40+O42+O21+O45</f>
        <v>1397394.1984291025</v>
      </c>
    </row>
    <row r="97" spans="4:15" s="14" customFormat="1">
      <c r="D97" s="166">
        <f>D96-D15-D19</f>
        <v>1334302.1439542552</v>
      </c>
      <c r="E97" s="166">
        <f>E96-E15-E19</f>
        <v>0</v>
      </c>
      <c r="F97" s="166">
        <f t="shared" ref="F97:O97" si="36">F96-F15-F19</f>
        <v>1334302.1439542552</v>
      </c>
      <c r="G97" s="166">
        <f t="shared" si="36"/>
        <v>1366350.7003328474</v>
      </c>
      <c r="H97" s="166">
        <f t="shared" si="36"/>
        <v>0</v>
      </c>
      <c r="I97" s="166">
        <f t="shared" si="36"/>
        <v>1366350.7003328474</v>
      </c>
      <c r="J97" s="166">
        <f t="shared" si="36"/>
        <v>1339716.5666687302</v>
      </c>
      <c r="K97" s="166">
        <f t="shared" si="36"/>
        <v>0</v>
      </c>
      <c r="L97" s="166">
        <f t="shared" si="36"/>
        <v>1339716.5666687302</v>
      </c>
      <c r="M97" s="166">
        <f t="shared" si="36"/>
        <v>1342378.7608763138</v>
      </c>
      <c r="N97" s="166">
        <f t="shared" si="36"/>
        <v>0</v>
      </c>
      <c r="O97" s="166">
        <f t="shared" si="36"/>
        <v>1342378.7608763138</v>
      </c>
    </row>
    <row r="98" spans="4:15" s="14" customFormat="1">
      <c r="D98" s="166">
        <f>D20+D44</f>
        <v>-52212.389438371785</v>
      </c>
      <c r="E98" s="166">
        <f>E20+E44</f>
        <v>0</v>
      </c>
      <c r="F98" s="166">
        <f t="shared" ref="F98:O98" si="37">F20+F44</f>
        <v>-52212.389438371785</v>
      </c>
      <c r="G98" s="166">
        <f t="shared" si="37"/>
        <v>195935.02564101078</v>
      </c>
      <c r="H98" s="166">
        <f t="shared" si="37"/>
        <v>0</v>
      </c>
      <c r="I98" s="166">
        <f t="shared" si="37"/>
        <v>195935.02564101078</v>
      </c>
      <c r="J98" s="166">
        <f t="shared" si="37"/>
        <v>37182.827375000001</v>
      </c>
      <c r="K98" s="166">
        <f t="shared" si="37"/>
        <v>0</v>
      </c>
      <c r="L98" s="166">
        <f t="shared" si="37"/>
        <v>37182.827375000001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82" priority="7" operator="containsText" text="ERRORE">
      <formula>NOT(ISERROR(SEARCH("ERRORE",F81)))</formula>
    </cfRule>
  </conditionalFormatting>
  <conditionalFormatting sqref="I83">
    <cfRule type="containsText" dxfId="81" priority="6" operator="containsText" text="ERRORE">
      <formula>NOT(ISERROR(SEARCH("ERRORE",I83)))</formula>
    </cfRule>
  </conditionalFormatting>
  <conditionalFormatting sqref="I81:I82">
    <cfRule type="containsText" dxfId="80" priority="5" operator="containsText" text="ERRORE">
      <formula>NOT(ISERROR(SEARCH("ERRORE",I81)))</formula>
    </cfRule>
  </conditionalFormatting>
  <conditionalFormatting sqref="L83">
    <cfRule type="containsText" dxfId="79" priority="4" operator="containsText" text="ERRORE">
      <formula>NOT(ISERROR(SEARCH("ERRORE",L83)))</formula>
    </cfRule>
  </conditionalFormatting>
  <conditionalFormatting sqref="L81:L82">
    <cfRule type="containsText" dxfId="78" priority="3" operator="containsText" text="ERRORE">
      <formula>NOT(ISERROR(SEARCH("ERRORE",L81)))</formula>
    </cfRule>
  </conditionalFormatting>
  <conditionalFormatting sqref="O83">
    <cfRule type="containsText" dxfId="77" priority="2" operator="containsText" text="ERRORE">
      <formula>NOT(ISERROR(SEARCH("ERRORE",O83)))</formula>
    </cfRule>
  </conditionalFormatting>
  <conditionalFormatting sqref="O81:O82">
    <cfRule type="containsText" dxfId="76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F37" zoomScale="70" zoomScaleNormal="70" zoomScalePageLayoutView="70" workbookViewId="0">
      <selection activeCell="J51" sqref="J51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107</v>
      </c>
      <c r="B1" s="2" t="str">
        <f>"       PEF 2022 - 2025"&amp;" - "&amp;A1</f>
        <v xml:space="preserve">       PEF 2022 - 2025 - Salzano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140</v>
      </c>
      <c r="E4" s="188"/>
      <c r="F4" s="189"/>
      <c r="G4" s="187" t="str">
        <f>D4</f>
        <v>Ambito tariffario: Salzano</v>
      </c>
      <c r="H4" s="188"/>
      <c r="I4" s="189"/>
      <c r="J4" s="187" t="str">
        <f>D4</f>
        <v>Ambito tariffario: Salzano</v>
      </c>
      <c r="K4" s="188"/>
      <c r="L4" s="189"/>
      <c r="M4" s="187" t="str">
        <f>D4</f>
        <v>Ambito tariffario: Salzano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184381.02414686803</v>
      </c>
      <c r="E6" s="22">
        <v>0</v>
      </c>
      <c r="F6" s="23">
        <f>D6+E6</f>
        <v>184381.02414686803</v>
      </c>
      <c r="G6" s="22">
        <v>190733.65119953227</v>
      </c>
      <c r="H6" s="22">
        <v>0</v>
      </c>
      <c r="I6" s="23">
        <f>G6+H6</f>
        <v>190733.65119953227</v>
      </c>
      <c r="J6" s="22">
        <v>190733.65119953227</v>
      </c>
      <c r="K6" s="22">
        <v>0</v>
      </c>
      <c r="L6" s="23">
        <f>J6+K6</f>
        <v>190733.65119953227</v>
      </c>
      <c r="M6" s="22">
        <v>190733.65119953227</v>
      </c>
      <c r="N6" s="22">
        <v>0</v>
      </c>
      <c r="O6" s="23">
        <f>M6+N6</f>
        <v>190733.65119953227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159833.37011963053</v>
      </c>
      <c r="E7" s="22">
        <v>0</v>
      </c>
      <c r="F7" s="23">
        <f t="shared" ref="F7:F20" si="0">D7+E7</f>
        <v>159833.37011963053</v>
      </c>
      <c r="G7" s="22">
        <v>167310.61370616217</v>
      </c>
      <c r="H7" s="22">
        <v>0</v>
      </c>
      <c r="I7" s="23">
        <f t="shared" ref="I7:I13" si="1">G7+H7</f>
        <v>167310.61370616217</v>
      </c>
      <c r="J7" s="22">
        <v>167310.61370616217</v>
      </c>
      <c r="K7" s="22">
        <v>0</v>
      </c>
      <c r="L7" s="23">
        <f t="shared" ref="L7:L12" si="2">J7+K7</f>
        <v>167310.61370616217</v>
      </c>
      <c r="M7" s="22">
        <v>167310.61370616217</v>
      </c>
      <c r="N7" s="22">
        <v>0</v>
      </c>
      <c r="O7" s="23">
        <f t="shared" ref="O7:O13" si="3">M7+N7</f>
        <v>167310.61370616217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177886.37439729733</v>
      </c>
      <c r="E8" s="22">
        <v>0</v>
      </c>
      <c r="F8" s="23">
        <f t="shared" si="0"/>
        <v>177886.37439729733</v>
      </c>
      <c r="G8" s="22">
        <v>186212.5270346523</v>
      </c>
      <c r="H8" s="22">
        <v>0</v>
      </c>
      <c r="I8" s="23">
        <f t="shared" si="1"/>
        <v>186212.5270346523</v>
      </c>
      <c r="J8" s="22">
        <v>186212.5270346523</v>
      </c>
      <c r="K8" s="22">
        <v>0</v>
      </c>
      <c r="L8" s="23">
        <f t="shared" si="2"/>
        <v>186212.5270346523</v>
      </c>
      <c r="M8" s="22">
        <v>186212.5270346523</v>
      </c>
      <c r="N8" s="22">
        <v>0</v>
      </c>
      <c r="O8" s="23">
        <f t="shared" si="3"/>
        <v>186212.5270346523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418084.2644450565</v>
      </c>
      <c r="E9" s="22">
        <v>0</v>
      </c>
      <c r="F9" s="23">
        <f t="shared" si="0"/>
        <v>418084.2644450565</v>
      </c>
      <c r="G9" s="22">
        <v>429892.55249793164</v>
      </c>
      <c r="H9" s="22">
        <v>0</v>
      </c>
      <c r="I9" s="23">
        <f t="shared" si="1"/>
        <v>429892.55249793164</v>
      </c>
      <c r="J9" s="22">
        <v>429892.55249793164</v>
      </c>
      <c r="K9" s="22">
        <v>0</v>
      </c>
      <c r="L9" s="23">
        <f t="shared" si="2"/>
        <v>429892.55249793164</v>
      </c>
      <c r="M9" s="22">
        <v>429892.55249793164</v>
      </c>
      <c r="N9" s="22">
        <v>0</v>
      </c>
      <c r="O9" s="23">
        <f t="shared" si="3"/>
        <v>429892.55249793164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4670.8819915858967</v>
      </c>
      <c r="E11" s="22">
        <v>0</v>
      </c>
      <c r="F11" s="23">
        <f t="shared" si="0"/>
        <v>4670.8819915858967</v>
      </c>
      <c r="G11" s="22">
        <v>4670.8819915858967</v>
      </c>
      <c r="H11" s="22">
        <v>0</v>
      </c>
      <c r="I11" s="23">
        <f t="shared" si="1"/>
        <v>4670.8819915858967</v>
      </c>
      <c r="J11" s="22">
        <v>4670.8819915858967</v>
      </c>
      <c r="K11" s="22">
        <v>0</v>
      </c>
      <c r="L11" s="23">
        <f t="shared" si="2"/>
        <v>4670.8819915858967</v>
      </c>
      <c r="M11" s="22">
        <v>4670.8819915858967</v>
      </c>
      <c r="N11" s="22">
        <v>0</v>
      </c>
      <c r="O11" s="23">
        <f t="shared" si="3"/>
        <v>4670.8819915858967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78531.431192979609</v>
      </c>
      <c r="E13" s="22">
        <v>0</v>
      </c>
      <c r="F13" s="23">
        <f t="shared" si="0"/>
        <v>78531.431192979609</v>
      </c>
      <c r="G13" s="22">
        <v>78452.978214764851</v>
      </c>
      <c r="H13" s="22">
        <v>0</v>
      </c>
      <c r="I13" s="23">
        <f t="shared" si="1"/>
        <v>78452.978214764851</v>
      </c>
      <c r="J13" s="22">
        <v>78452.978214764851</v>
      </c>
      <c r="K13" s="22">
        <v>0</v>
      </c>
      <c r="L13" s="23">
        <f>J13+K13</f>
        <v>78452.978214764851</v>
      </c>
      <c r="M13" s="22">
        <v>78452.978214764851</v>
      </c>
      <c r="N13" s="22">
        <v>0</v>
      </c>
      <c r="O13" s="23">
        <f t="shared" si="3"/>
        <v>78452.978214764851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47118.858715787763</v>
      </c>
      <c r="E15" s="22">
        <v>0</v>
      </c>
      <c r="F15" s="23">
        <f t="shared" si="0"/>
        <v>47118.858715787763</v>
      </c>
      <c r="G15" s="22">
        <v>47071.786928858906</v>
      </c>
      <c r="H15" s="22">
        <v>0</v>
      </c>
      <c r="I15" s="23">
        <f t="shared" ref="I15:I16" si="4">G15+H15</f>
        <v>47071.786928858906</v>
      </c>
      <c r="J15" s="22">
        <v>47071.786928858906</v>
      </c>
      <c r="K15" s="22">
        <v>0</v>
      </c>
      <c r="L15" s="23">
        <f t="shared" ref="L15:L16" si="5">J15+K15</f>
        <v>47071.786928858906</v>
      </c>
      <c r="M15" s="22">
        <v>47071.786928858906</v>
      </c>
      <c r="N15" s="22">
        <v>0</v>
      </c>
      <c r="O15" s="23">
        <f t="shared" ref="O15:O16" si="6">M15+N15</f>
        <v>47071.786928858906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1853.8886587387531</v>
      </c>
      <c r="E16" s="22">
        <v>0</v>
      </c>
      <c r="F16" s="23">
        <f t="shared" si="0"/>
        <v>1853.8886587387531</v>
      </c>
      <c r="G16" s="22">
        <v>1852.0366221166369</v>
      </c>
      <c r="H16" s="22">
        <v>0</v>
      </c>
      <c r="I16" s="23">
        <f t="shared" si="4"/>
        <v>1852.0366221166369</v>
      </c>
      <c r="J16" s="22">
        <v>1852.0366221166369</v>
      </c>
      <c r="K16" s="22">
        <v>0</v>
      </c>
      <c r="L16" s="23">
        <f t="shared" si="5"/>
        <v>1852.0366221166369</v>
      </c>
      <c r="M16" s="22">
        <v>1852.0366221166369</v>
      </c>
      <c r="N16" s="22">
        <v>0</v>
      </c>
      <c r="O16" s="23">
        <f t="shared" si="6"/>
        <v>1852.0366221166369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1223.566514767577</v>
      </c>
      <c r="E19" s="22">
        <v>0</v>
      </c>
      <c r="F19" s="23">
        <f t="shared" si="0"/>
        <v>1223.566514767577</v>
      </c>
      <c r="G19" s="22">
        <v>1222.3441705969803</v>
      </c>
      <c r="H19" s="22">
        <v>0</v>
      </c>
      <c r="I19" s="23">
        <f t="shared" ref="I19:I20" si="7">G19+H19</f>
        <v>1222.3441705969803</v>
      </c>
      <c r="J19" s="22">
        <v>1222.3441705969803</v>
      </c>
      <c r="K19" s="22">
        <v>0</v>
      </c>
      <c r="L19" s="23">
        <f t="shared" ref="L19:L20" si="8">J19+K19</f>
        <v>1222.3441705969803</v>
      </c>
      <c r="M19" s="32">
        <v>1222.3441705969803</v>
      </c>
      <c r="N19" s="33">
        <v>0</v>
      </c>
      <c r="O19" s="23">
        <f t="shared" ref="O19:O20" si="9">M19+N19</f>
        <v>1222.3441705969803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22">
        <v>0</v>
      </c>
      <c r="F20" s="23">
        <f t="shared" si="0"/>
        <v>0</v>
      </c>
      <c r="G20" s="22">
        <v>0</v>
      </c>
      <c r="H20" s="22">
        <v>0</v>
      </c>
      <c r="I20" s="23">
        <f t="shared" si="7"/>
        <v>0</v>
      </c>
      <c r="J20" s="22">
        <v>22251.886875000004</v>
      </c>
      <c r="K20" s="22">
        <v>0</v>
      </c>
      <c r="L20" s="23">
        <f t="shared" si="8"/>
        <v>22251.886875000004</v>
      </c>
      <c r="M20" s="22">
        <v>17500</v>
      </c>
      <c r="N20" s="22">
        <v>0</v>
      </c>
      <c r="O20" s="23">
        <f t="shared" si="9"/>
        <v>17500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/>
      <c r="F21" s="23">
        <f>E21</f>
        <v>0</v>
      </c>
      <c r="G21" s="34"/>
      <c r="H21" s="22"/>
      <c r="I21" s="23">
        <f>H21</f>
        <v>0</v>
      </c>
      <c r="J21" s="34"/>
      <c r="K21" s="22"/>
      <c r="L21" s="23">
        <f>K21</f>
        <v>0</v>
      </c>
      <c r="M21" s="34"/>
      <c r="N21" s="22"/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896513.48986988293</v>
      </c>
      <c r="E23" s="38">
        <f>E6+E7+E8+E9+E10+E11+E12-E15-E19+E20+E21</f>
        <v>0</v>
      </c>
      <c r="F23" s="38">
        <f>D23+E23</f>
        <v>896513.48986988293</v>
      </c>
      <c r="G23" s="38">
        <f>G6+G7+G8+G9+G10+G11+G12-G15-G19+G20+G22</f>
        <v>930526.09533040831</v>
      </c>
      <c r="H23" s="38">
        <f>H6+H7+H8+H9+H10+H11+H12-H15-H19+H20+H21+H22</f>
        <v>0</v>
      </c>
      <c r="I23" s="38">
        <f>G23+H23</f>
        <v>930526.09533040831</v>
      </c>
      <c r="J23" s="38">
        <f>J6+J7+J8+J9+J10+J11+J12-J15-J19+J20+J22</f>
        <v>952777.98220540828</v>
      </c>
      <c r="K23" s="38">
        <f>K6+K7+K8+K9+K10+K11+K12-K15-K19+K20+K21+K22</f>
        <v>0</v>
      </c>
      <c r="L23" s="38">
        <f>J23+K23</f>
        <v>952777.98220540828</v>
      </c>
      <c r="M23" s="38">
        <f>M6+M7+M8+M9+M10+M11+M12-M15-M19+M20+M22</f>
        <v>948026.09533040831</v>
      </c>
      <c r="N23" s="38">
        <f>N6+N7+N8+N9+N10+N11+N12-N15-N19+N20+N21+N22</f>
        <v>0</v>
      </c>
      <c r="O23" s="38">
        <f>M23+N23</f>
        <v>948026.09533040831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218683.04999023303</v>
      </c>
      <c r="E25" s="44">
        <v>0</v>
      </c>
      <c r="F25" s="45">
        <f t="shared" ref="F25:F44" si="13">D25+E25</f>
        <v>218683.04999023303</v>
      </c>
      <c r="G25" s="44">
        <v>228579.98933369282</v>
      </c>
      <c r="H25" s="44">
        <v>0</v>
      </c>
      <c r="I25" s="45">
        <f t="shared" ref="I25:I33" si="14">G25+H25</f>
        <v>228579.98933369282</v>
      </c>
      <c r="J25" s="44">
        <v>228579.98933369282</v>
      </c>
      <c r="K25" s="44">
        <v>0</v>
      </c>
      <c r="L25" s="45">
        <f t="shared" ref="L25:L44" si="15">J25+K25</f>
        <v>228579.98933369282</v>
      </c>
      <c r="M25" s="44">
        <v>228579.98933369282</v>
      </c>
      <c r="N25" s="44">
        <v>0</v>
      </c>
      <c r="O25" s="45">
        <f t="shared" ref="O25:O43" si="16">M25+N25</f>
        <v>228579.98933369282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138243.50411934598</v>
      </c>
      <c r="E26" s="22">
        <v>0</v>
      </c>
      <c r="F26" s="36">
        <f t="shared" si="13"/>
        <v>138243.50411934598</v>
      </c>
      <c r="G26" s="22">
        <v>142293.23803485706</v>
      </c>
      <c r="H26" s="22">
        <v>0</v>
      </c>
      <c r="I26" s="36">
        <f t="shared" si="14"/>
        <v>142293.23803485706</v>
      </c>
      <c r="J26" s="22">
        <v>142293.23803485706</v>
      </c>
      <c r="K26" s="22">
        <v>0</v>
      </c>
      <c r="L26" s="36">
        <f t="shared" si="15"/>
        <v>142293.23803485706</v>
      </c>
      <c r="M26" s="22">
        <v>142293.23803485706</v>
      </c>
      <c r="N26" s="22">
        <v>0</v>
      </c>
      <c r="O26" s="36">
        <f t="shared" si="16"/>
        <v>142293.23803485706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145902.69296271168</v>
      </c>
      <c r="E27" s="47">
        <v>0</v>
      </c>
      <c r="F27" s="48">
        <f t="shared" si="13"/>
        <v>145902.69296271168</v>
      </c>
      <c r="G27" s="47">
        <v>151520.87839895091</v>
      </c>
      <c r="H27" s="47">
        <v>0</v>
      </c>
      <c r="I27" s="48">
        <f t="shared" si="14"/>
        <v>151520.87839895091</v>
      </c>
      <c r="J27" s="47">
        <v>151520.87839895091</v>
      </c>
      <c r="K27" s="47">
        <v>0</v>
      </c>
      <c r="L27" s="48">
        <f t="shared" si="15"/>
        <v>151520.87839895091</v>
      </c>
      <c r="M27" s="47">
        <v>151520.87839895091</v>
      </c>
      <c r="N27" s="47">
        <v>0</v>
      </c>
      <c r="O27" s="48">
        <f t="shared" si="16"/>
        <v>151520.87839895091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22872.817425127487</v>
      </c>
      <c r="E29" s="47">
        <v>0</v>
      </c>
      <c r="F29" s="48">
        <f t="shared" si="13"/>
        <v>22872.817425127487</v>
      </c>
      <c r="G29" s="47">
        <v>23037.139366812866</v>
      </c>
      <c r="H29" s="47">
        <v>0</v>
      </c>
      <c r="I29" s="48">
        <f t="shared" si="14"/>
        <v>23037.139366812866</v>
      </c>
      <c r="J29" s="47">
        <v>23037.139366812866</v>
      </c>
      <c r="K29" s="47">
        <v>0</v>
      </c>
      <c r="L29" s="48">
        <f t="shared" si="15"/>
        <v>23037.139366812866</v>
      </c>
      <c r="M29" s="47">
        <v>23037.139366812866</v>
      </c>
      <c r="N29" s="47">
        <v>0</v>
      </c>
      <c r="O29" s="48">
        <f t="shared" si="16"/>
        <v>23037.139366812866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307019.01450718514</v>
      </c>
      <c r="E30" s="51">
        <f>+E26+E27+E28+E29</f>
        <v>0</v>
      </c>
      <c r="F30" s="52">
        <f t="shared" si="13"/>
        <v>307019.01450718514</v>
      </c>
      <c r="G30" s="51">
        <f>+G26+G27+G28+G29</f>
        <v>316851.25580062089</v>
      </c>
      <c r="H30" s="51">
        <f>+H26+H27+H28+H29</f>
        <v>0</v>
      </c>
      <c r="I30" s="52">
        <f t="shared" si="14"/>
        <v>316851.25580062089</v>
      </c>
      <c r="J30" s="51">
        <f>+J26+J27+J28+J29</f>
        <v>316851.25580062089</v>
      </c>
      <c r="K30" s="51">
        <f>+K26+K27+K28+K29</f>
        <v>0</v>
      </c>
      <c r="L30" s="52">
        <f t="shared" si="15"/>
        <v>316851.25580062089</v>
      </c>
      <c r="M30" s="51">
        <f>+M26+M27+M28+M29</f>
        <v>316851.25580062089</v>
      </c>
      <c r="N30" s="51">
        <f>+N26+N27+N28+N29</f>
        <v>0</v>
      </c>
      <c r="O30" s="52">
        <f t="shared" si="16"/>
        <v>316851.25580062089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115311.77564566016</v>
      </c>
      <c r="E31" s="53">
        <v>0</v>
      </c>
      <c r="F31" s="48">
        <f t="shared" si="13"/>
        <v>115311.77564566016</v>
      </c>
      <c r="G31" s="147">
        <f>VLOOKUP($A$1,REM_ToolEnrico!$B$5:$J$38,4,FALSE)</f>
        <v>100491.96110083834</v>
      </c>
      <c r="H31" s="53">
        <v>0</v>
      </c>
      <c r="I31" s="48">
        <f t="shared" si="14"/>
        <v>100491.96110083834</v>
      </c>
      <c r="J31" s="147">
        <f>VLOOKUP($A$1,REM_ToolEnrico!$B$5:$J$38,6,FALSE)</f>
        <v>98577.097631316268</v>
      </c>
      <c r="K31" s="53">
        <v>0</v>
      </c>
      <c r="L31" s="48">
        <f t="shared" si="15"/>
        <v>98577.097631316268</v>
      </c>
      <c r="M31" s="147">
        <f>VLOOKUP($A$1,REM_ToolEnrico!$B$5:$J$38,8,FALSE)</f>
        <v>91440.885064859991</v>
      </c>
      <c r="N31" s="53">
        <v>0</v>
      </c>
      <c r="O31" s="48">
        <f t="shared" si="16"/>
        <v>91440.885064859991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85059.471076056638</v>
      </c>
      <c r="E32" s="54">
        <f>+E33+E34+E35+E36</f>
        <v>0</v>
      </c>
      <c r="F32" s="48">
        <f t="shared" si="13"/>
        <v>85059.471076056638</v>
      </c>
      <c r="G32" s="54">
        <f>+G33+G34+G35+G36</f>
        <v>84974.496579477185</v>
      </c>
      <c r="H32" s="54">
        <f>+H33+H34+H35+H36</f>
        <v>0</v>
      </c>
      <c r="I32" s="48">
        <f t="shared" si="14"/>
        <v>84974.496579477185</v>
      </c>
      <c r="J32" s="54">
        <f>+J33+J34+J35+J36</f>
        <v>84974.496579477185</v>
      </c>
      <c r="K32" s="54">
        <f>+K33+K34+K35+K36</f>
        <v>0</v>
      </c>
      <c r="L32" s="48">
        <f t="shared" si="15"/>
        <v>84974.496579477185</v>
      </c>
      <c r="M32" s="54">
        <f>+M33+M34+M35+M36</f>
        <v>84974.496579477185</v>
      </c>
      <c r="N32" s="54">
        <f>+N33+N34+N35+N36</f>
        <v>0</v>
      </c>
      <c r="O32" s="48">
        <f t="shared" si="16"/>
        <v>84974.496579477185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85059.471076056638</v>
      </c>
      <c r="E34" s="47">
        <v>0</v>
      </c>
      <c r="F34" s="48">
        <f>D34+E34</f>
        <v>85059.471076056638</v>
      </c>
      <c r="G34" s="47">
        <v>84974.496579477185</v>
      </c>
      <c r="H34" s="47">
        <v>0</v>
      </c>
      <c r="I34" s="48">
        <f>G34+H34</f>
        <v>84974.496579477185</v>
      </c>
      <c r="J34" s="47">
        <v>84974.496579477185</v>
      </c>
      <c r="K34" s="158">
        <v>0</v>
      </c>
      <c r="L34" s="48">
        <f t="shared" si="15"/>
        <v>84974.496579477185</v>
      </c>
      <c r="M34" s="47">
        <v>84974.496579477185</v>
      </c>
      <c r="N34" s="158">
        <v>0</v>
      </c>
      <c r="O34" s="48">
        <f t="shared" si="16"/>
        <v>84974.496579477185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52700.126564686972</v>
      </c>
      <c r="E37" s="47">
        <v>0</v>
      </c>
      <c r="F37" s="48">
        <f t="shared" si="13"/>
        <v>52700.126564686972</v>
      </c>
      <c r="G37" s="147">
        <f>VLOOKUP($A$1,REM_ToolEnrico!$B$5:$J$38,5,FALSE)</f>
        <v>53565.068745656979</v>
      </c>
      <c r="H37" s="47">
        <v>0</v>
      </c>
      <c r="I37" s="48">
        <f t="shared" si="17"/>
        <v>53565.068745656979</v>
      </c>
      <c r="J37" s="147">
        <f>VLOOKUP($A$1,REM_ToolEnrico!$B$5:$J$38,7,FALSE)</f>
        <v>50839.389625075019</v>
      </c>
      <c r="K37" s="47">
        <v>0</v>
      </c>
      <c r="L37" s="48">
        <f t="shared" si="15"/>
        <v>50839.389625075019</v>
      </c>
      <c r="M37" s="147">
        <f>VLOOKUP($A$1,REM_ToolEnrico!$B$5:$J$38,9,FALSE)</f>
        <v>47644.016732634387</v>
      </c>
      <c r="N37" s="47">
        <v>0</v>
      </c>
      <c r="O37" s="48">
        <f t="shared" si="16"/>
        <v>47644.016732634387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722.71737349112891</v>
      </c>
      <c r="E38" s="47">
        <v>0</v>
      </c>
      <c r="F38" s="48">
        <f t="shared" si="13"/>
        <v>722.71737349112891</v>
      </c>
      <c r="G38" s="47">
        <v>724.16280823811121</v>
      </c>
      <c r="H38" s="47">
        <v>0</v>
      </c>
      <c r="I38" s="48">
        <f t="shared" si="17"/>
        <v>724.16280823811121</v>
      </c>
      <c r="J38" s="47">
        <v>724.16280823811121</v>
      </c>
      <c r="K38" s="47">
        <v>0</v>
      </c>
      <c r="L38" s="48">
        <f t="shared" si="15"/>
        <v>724.16280823811121</v>
      </c>
      <c r="M38" s="47">
        <v>724.16280823811121</v>
      </c>
      <c r="N38" s="47">
        <v>0</v>
      </c>
      <c r="O38" s="48">
        <f t="shared" si="16"/>
        <v>724.16280823811121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253794.09065989492</v>
      </c>
      <c r="E40" s="51">
        <f>E38+E37+E32+E31+E39</f>
        <v>0</v>
      </c>
      <c r="F40" s="52">
        <f t="shared" si="13"/>
        <v>253794.09065989492</v>
      </c>
      <c r="G40" s="51">
        <f>G38+G37+G32+G31+G39</f>
        <v>239755.68923421059</v>
      </c>
      <c r="H40" s="51">
        <f>H38+H37+H32+H31+H39</f>
        <v>0</v>
      </c>
      <c r="I40" s="52">
        <f t="shared" si="17"/>
        <v>239755.68923421059</v>
      </c>
      <c r="J40" s="51">
        <f>J38+J37+J32+J31+J39</f>
        <v>235115.1466441066</v>
      </c>
      <c r="K40" s="51">
        <f>K38+K37+K32+K31+K39</f>
        <v>0</v>
      </c>
      <c r="L40" s="52">
        <f t="shared" si="15"/>
        <v>235115.1466441066</v>
      </c>
      <c r="M40" s="51">
        <f>M38+M37+M32+M31+M39</f>
        <v>224783.56118520966</v>
      </c>
      <c r="N40" s="51">
        <f>N38+N37+N32+N31+N39</f>
        <v>0</v>
      </c>
      <c r="O40" s="52">
        <f t="shared" si="16"/>
        <v>224783.56118520966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7747.4362633771416</v>
      </c>
      <c r="E42" s="22">
        <v>0</v>
      </c>
      <c r="F42" s="36">
        <f t="shared" si="13"/>
        <v>7747.4362633771416</v>
      </c>
      <c r="G42" s="22">
        <v>14598.063184369788</v>
      </c>
      <c r="H42" s="22">
        <v>0</v>
      </c>
      <c r="I42" s="36">
        <f t="shared" si="17"/>
        <v>14598.063184369788</v>
      </c>
      <c r="J42" s="22">
        <v>14598.063184369788</v>
      </c>
      <c r="K42" s="22">
        <v>0</v>
      </c>
      <c r="L42" s="36">
        <f t="shared" si="15"/>
        <v>14598.063184369788</v>
      </c>
      <c r="M42" s="22">
        <v>14598.063184369788</v>
      </c>
      <c r="N42" s="22">
        <v>0</v>
      </c>
      <c r="O42" s="36">
        <f t="shared" si="16"/>
        <v>14598.063184369788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-94773.48248340319</v>
      </c>
      <c r="E44" s="57">
        <v>0</v>
      </c>
      <c r="F44" s="36">
        <f t="shared" si="13"/>
        <v>-94773.48248340319</v>
      </c>
      <c r="G44" s="57">
        <v>-70128.579478704953</v>
      </c>
      <c r="H44" s="57">
        <v>0</v>
      </c>
      <c r="I44" s="36">
        <f t="shared" si="17"/>
        <v>-70128.579478704953</v>
      </c>
      <c r="J44" s="57">
        <v>0</v>
      </c>
      <c r="K44" s="57">
        <v>0</v>
      </c>
      <c r="L44" s="36">
        <f t="shared" si="15"/>
        <v>0</v>
      </c>
      <c r="M44" s="57">
        <v>17500</v>
      </c>
      <c r="N44" s="57">
        <v>0</v>
      </c>
      <c r="O44" s="36">
        <f>M44+N44</f>
        <v>17500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692470.10893728724</v>
      </c>
      <c r="E47" s="59">
        <f>E25+E30+E40+E41+E42+E43+E44+E45</f>
        <v>0</v>
      </c>
      <c r="F47" s="60">
        <f>D47+E47</f>
        <v>692470.10893728724</v>
      </c>
      <c r="G47" s="59">
        <f>G25+G30+G40+G41+G42+G43+G44+G46</f>
        <v>729656.4180741891</v>
      </c>
      <c r="H47" s="59">
        <f>H25+H30+H40+H41+H42+H43+H44+H45+H46</f>
        <v>0</v>
      </c>
      <c r="I47" s="60">
        <f>G47+H47</f>
        <v>729656.4180741891</v>
      </c>
      <c r="J47" s="59">
        <f>J25+J30+J40+J41+J42+J43+J44+J46</f>
        <v>795144.45496279013</v>
      </c>
      <c r="K47" s="59">
        <f>K25+K30+K40+K41+K42+K43+K44+K45+K46</f>
        <v>0</v>
      </c>
      <c r="L47" s="60">
        <f>J47+K47</f>
        <v>795144.45496279013</v>
      </c>
      <c r="M47" s="59">
        <f>M25+M30+M40+M41+M42+M43+M44+M46</f>
        <v>802312.86950389319</v>
      </c>
      <c r="N47" s="59">
        <f>N25+N30+N40+N41+N42+N43+N44+N45+N46</f>
        <v>0</v>
      </c>
      <c r="O47" s="60">
        <f>M47+N47</f>
        <v>802312.86950389319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1590509.7786495038</v>
      </c>
      <c r="E49" s="65">
        <v>0</v>
      </c>
      <c r="F49" s="65">
        <f>D49+E49</f>
        <v>1590509.7786495038</v>
      </c>
      <c r="G49" s="65">
        <f>G50</f>
        <v>1660182.5134045975</v>
      </c>
      <c r="H49" s="65">
        <v>0</v>
      </c>
      <c r="I49" s="65">
        <f t="shared" ref="I49" si="21">G49+H49</f>
        <v>1660182.5134045975</v>
      </c>
      <c r="J49" s="65">
        <f>J50</f>
        <v>1747922.4371681984</v>
      </c>
      <c r="K49" s="65">
        <v>0</v>
      </c>
      <c r="L49" s="65">
        <f t="shared" ref="L49" si="22">J49+K49</f>
        <v>1747922.4371681984</v>
      </c>
      <c r="M49" s="65">
        <f>M50</f>
        <v>1750338.9648343015</v>
      </c>
      <c r="N49" s="65">
        <v>0</v>
      </c>
      <c r="O49" s="65">
        <f t="shared" ref="O49" si="23">M49+N49</f>
        <v>1750338.9648343015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1588983.5988071701</v>
      </c>
      <c r="E50" s="59">
        <f t="shared" si="24"/>
        <v>0</v>
      </c>
      <c r="F50" s="59">
        <f t="shared" si="24"/>
        <v>1588983.5988071701</v>
      </c>
      <c r="G50" s="59">
        <f>+G23+G47</f>
        <v>1660182.5134045975</v>
      </c>
      <c r="H50" s="59">
        <f t="shared" si="24"/>
        <v>0</v>
      </c>
      <c r="I50" s="59">
        <f t="shared" si="24"/>
        <v>1660182.5134045975</v>
      </c>
      <c r="J50" s="59">
        <f t="shared" si="24"/>
        <v>1747922.4371681984</v>
      </c>
      <c r="K50" s="59">
        <f>+K23+K47</f>
        <v>0</v>
      </c>
      <c r="L50" s="59">
        <f t="shared" si="24"/>
        <v>1747922.4371681984</v>
      </c>
      <c r="M50" s="59">
        <f>+M23+M47</f>
        <v>1750338.9648343015</v>
      </c>
      <c r="N50" s="59">
        <f t="shared" si="24"/>
        <v>0</v>
      </c>
      <c r="O50" s="59">
        <f t="shared" si="24"/>
        <v>1750338.9648343015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-94773.48248340319</v>
      </c>
      <c r="E51" s="68">
        <f>E44+E20</f>
        <v>0</v>
      </c>
      <c r="F51" s="146"/>
      <c r="G51" s="68">
        <f>G44+G20</f>
        <v>-70128.579478704953</v>
      </c>
      <c r="H51" s="68">
        <f>H44+H20</f>
        <v>0</v>
      </c>
      <c r="I51" s="146"/>
      <c r="J51" s="68">
        <f>J44+J20</f>
        <v>22251.886875000004</v>
      </c>
      <c r="K51" s="68">
        <f>K44+K20</f>
        <v>0</v>
      </c>
      <c r="L51" s="146"/>
      <c r="M51" s="68">
        <f>M44+M20</f>
        <v>35000</v>
      </c>
      <c r="N51" s="68">
        <f>N44+N20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0.80330000000000001</v>
      </c>
      <c r="G53" s="72"/>
      <c r="H53" s="73"/>
      <c r="I53" s="74">
        <v>0.80330000000000001</v>
      </c>
      <c r="J53" s="72"/>
      <c r="K53" s="73"/>
      <c r="L53" s="74">
        <v>0.80330000000000001</v>
      </c>
      <c r="M53" s="72"/>
      <c r="N53" s="73"/>
      <c r="O53" s="74">
        <v>0.80330000000000001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4388.9380000000001</v>
      </c>
      <c r="G54" s="34"/>
      <c r="H54" s="76"/>
      <c r="I54" s="77">
        <v>4388.9380000000001</v>
      </c>
      <c r="J54" s="34"/>
      <c r="K54" s="76"/>
      <c r="L54" s="77">
        <v>4388.9380000000001</v>
      </c>
      <c r="M54" s="34"/>
      <c r="N54" s="76"/>
      <c r="O54" s="77">
        <v>4388.9380000000001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36.713232066579501</v>
      </c>
      <c r="G55" s="34"/>
      <c r="H55" s="76"/>
      <c r="I55" s="78">
        <v>34.653588352713641</v>
      </c>
      <c r="J55" s="34"/>
      <c r="K55" s="76"/>
      <c r="L55" s="78">
        <v>36.086506101023481</v>
      </c>
      <c r="M55" s="34"/>
      <c r="N55" s="76"/>
      <c r="O55" s="78">
        <v>37.605035420853113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27.297834873828794</v>
      </c>
      <c r="G56" s="81"/>
      <c r="H56" s="82"/>
      <c r="I56" s="78">
        <v>27.297834873828794</v>
      </c>
      <c r="J56" s="81"/>
      <c r="K56" s="82"/>
      <c r="L56" s="78">
        <v>27.297834873828794</v>
      </c>
      <c r="M56" s="81"/>
      <c r="N56" s="82"/>
      <c r="O56" s="78">
        <v>27.297834873828794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-3.6898869261909717E-2</v>
      </c>
      <c r="G60" s="90"/>
      <c r="H60" s="76"/>
      <c r="I60" s="89">
        <v>-3.6898869261909717E-2</v>
      </c>
      <c r="J60" s="34"/>
      <c r="K60" s="91"/>
      <c r="L60" s="89">
        <v>-3.6898869261909717E-2</v>
      </c>
      <c r="M60" s="34"/>
      <c r="N60" s="76"/>
      <c r="O60" s="89">
        <v>-3.6898869261909717E-2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-3.6898869261909717E-2</v>
      </c>
      <c r="G61" s="90"/>
      <c r="H61" s="76"/>
      <c r="I61" s="92">
        <v>-3.6898869261909717E-2</v>
      </c>
      <c r="J61" s="34"/>
      <c r="K61" s="76"/>
      <c r="L61" s="93">
        <v>-3.6898869261909717E-2</v>
      </c>
      <c r="M61" s="34"/>
      <c r="N61" s="76"/>
      <c r="O61" s="92">
        <v>-3.6898869261909717E-2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0.96310113073809034</v>
      </c>
      <c r="G62" s="95"/>
      <c r="H62" s="82"/>
      <c r="I62" s="94">
        <v>0.96310113073809034</v>
      </c>
      <c r="J62" s="81"/>
      <c r="K62" s="82"/>
      <c r="L62" s="94">
        <v>0.96310113073809034</v>
      </c>
      <c r="M62" s="81"/>
      <c r="N62" s="82"/>
      <c r="O62" s="94">
        <v>0.96310113073809034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1588983.5988071701</v>
      </c>
      <c r="G72" s="34"/>
      <c r="H72" s="76"/>
      <c r="I72" s="108">
        <f>I50</f>
        <v>1660182.5134045975</v>
      </c>
      <c r="J72" s="34"/>
      <c r="K72" s="76"/>
      <c r="L72" s="108">
        <f>L50</f>
        <v>1747922.4371681984</v>
      </c>
      <c r="M72" s="34"/>
      <c r="N72" s="76"/>
      <c r="O72" s="108">
        <f>O50</f>
        <v>1750338.9648343015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992161.06200241204</v>
      </c>
      <c r="G73" s="34"/>
      <c r="H73" s="76"/>
      <c r="I73" s="110">
        <f>F81</f>
        <v>896513.48986988293</v>
      </c>
      <c r="J73" s="34"/>
      <c r="K73" s="76"/>
      <c r="L73" s="110">
        <f>I81</f>
        <v>930526.09533040831</v>
      </c>
      <c r="M73" s="34"/>
      <c r="N73" s="76"/>
      <c r="O73" s="110">
        <f>L81</f>
        <v>952777.98220540828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528763.44557341095</v>
      </c>
      <c r="G74" s="34"/>
      <c r="H74" s="76"/>
      <c r="I74" s="110">
        <f>F82</f>
        <v>692470.10893728712</v>
      </c>
      <c r="J74" s="34"/>
      <c r="K74" s="76"/>
      <c r="L74" s="110">
        <f>I82</f>
        <v>729656.41807418922</v>
      </c>
      <c r="M74" s="34"/>
      <c r="N74" s="76"/>
      <c r="O74" s="110">
        <f>L82</f>
        <v>795144.45496279013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1520924.507575823</v>
      </c>
      <c r="G75" s="34"/>
      <c r="H75" s="76"/>
      <c r="I75" s="111">
        <f>SUM(I73:I74)</f>
        <v>1588983.5988071701</v>
      </c>
      <c r="J75" s="34"/>
      <c r="K75" s="76"/>
      <c r="L75" s="111">
        <f>SUM(L73:L74)</f>
        <v>1660182.5134045975</v>
      </c>
      <c r="M75" s="34"/>
      <c r="N75" s="76"/>
      <c r="O75" s="111">
        <f>SUM(O73:O74)</f>
        <v>1747922.4371681984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1.0447485005944348</v>
      </c>
      <c r="G76" s="81"/>
      <c r="H76" s="82"/>
      <c r="I76" s="112">
        <f>I72/I75</f>
        <v>1.0448078348013634</v>
      </c>
      <c r="J76" s="81"/>
      <c r="K76" s="82"/>
      <c r="L76" s="112">
        <f>L72/L75</f>
        <v>1.0528495650659935</v>
      </c>
      <c r="M76" s="81"/>
      <c r="N76" s="82"/>
      <c r="O76" s="112">
        <f>O72/O75</f>
        <v>1.0013825142436057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1588983.5988071701</v>
      </c>
      <c r="G78" s="73"/>
      <c r="H78" s="73"/>
      <c r="I78" s="115">
        <f>IF(I72&lt;=I75*I71,I72,I75*I71)</f>
        <v>1660182.5134045975</v>
      </c>
      <c r="J78" s="73"/>
      <c r="K78" s="73"/>
      <c r="L78" s="115">
        <f>IF(L72&lt;=L75*L71,L72,L75*L71)</f>
        <v>1747922.4371681984</v>
      </c>
      <c r="M78" s="73"/>
      <c r="N78" s="73"/>
      <c r="O78" s="115">
        <f>IF(O72&lt;=O75*O71,O72,O75*O71)</f>
        <v>1750338.9648343015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896513.48986988293</v>
      </c>
      <c r="E81" s="120">
        <f>E23</f>
        <v>0</v>
      </c>
      <c r="F81" s="115">
        <f>D81+E81</f>
        <v>896513.48986988293</v>
      </c>
      <c r="G81" s="119">
        <f>G23-I79</f>
        <v>930526.09533040831</v>
      </c>
      <c r="H81" s="120">
        <f>H23</f>
        <v>0</v>
      </c>
      <c r="I81" s="115">
        <f>G81+H81</f>
        <v>930526.09533040831</v>
      </c>
      <c r="J81" s="119">
        <f>J23-L79</f>
        <v>952777.98220540828</v>
      </c>
      <c r="K81" s="120">
        <f>K23</f>
        <v>0</v>
      </c>
      <c r="L81" s="115">
        <f>J81+K81</f>
        <v>952777.98220540828</v>
      </c>
      <c r="M81" s="119">
        <f>M23-O79</f>
        <v>948026.09533040831</v>
      </c>
      <c r="N81" s="120">
        <f>N23</f>
        <v>0</v>
      </c>
      <c r="O81" s="115">
        <f>M81+N81</f>
        <v>948026.09533040831</v>
      </c>
    </row>
    <row r="82" spans="1:52" s="14" customFormat="1" ht="20" customHeight="1" thickBot="1">
      <c r="B82" s="118" t="s">
        <v>72</v>
      </c>
      <c r="D82" s="121">
        <f>D50-D81-F79</f>
        <v>692470.10893728712</v>
      </c>
      <c r="E82" s="122">
        <f>E50-E81</f>
        <v>0</v>
      </c>
      <c r="F82" s="123">
        <f>D82+E82</f>
        <v>692470.10893728712</v>
      </c>
      <c r="G82" s="121">
        <f>G49-G81-I79</f>
        <v>729656.41807418922</v>
      </c>
      <c r="H82" s="122">
        <f>H50-H81</f>
        <v>0</v>
      </c>
      <c r="I82" s="123">
        <f>G82+H82</f>
        <v>729656.41807418922</v>
      </c>
      <c r="J82" s="121">
        <f>J50-J81-L79</f>
        <v>795144.45496279013</v>
      </c>
      <c r="K82" s="122">
        <f>K50-K81</f>
        <v>0</v>
      </c>
      <c r="L82" s="123">
        <f>J82+K82</f>
        <v>795144.45496279013</v>
      </c>
      <c r="M82" s="121">
        <f>M49-M81-O79</f>
        <v>802312.86950389319</v>
      </c>
      <c r="N82" s="122">
        <f>N50-N81</f>
        <v>0</v>
      </c>
      <c r="O82" s="123">
        <f>M82+N82</f>
        <v>802312.86950389319</v>
      </c>
    </row>
    <row r="83" spans="1:52" s="124" customFormat="1" ht="17.25" customHeight="1" thickBot="1">
      <c r="B83" s="125" t="s">
        <v>73</v>
      </c>
      <c r="C83" s="14"/>
      <c r="D83" s="126">
        <f>SUM(D81:D82)</f>
        <v>1588983.5988071701</v>
      </c>
      <c r="E83" s="127">
        <f t="shared" ref="E83:O83" si="25">SUM(E81:E82)</f>
        <v>0</v>
      </c>
      <c r="F83" s="128">
        <f t="shared" si="25"/>
        <v>1588983.5988071701</v>
      </c>
      <c r="G83" s="126">
        <f t="shared" si="25"/>
        <v>1660182.5134045975</v>
      </c>
      <c r="H83" s="127">
        <f t="shared" si="25"/>
        <v>0</v>
      </c>
      <c r="I83" s="128">
        <f t="shared" si="25"/>
        <v>1660182.5134045975</v>
      </c>
      <c r="J83" s="126">
        <f t="shared" si="25"/>
        <v>1747922.4371681984</v>
      </c>
      <c r="K83" s="127">
        <f t="shared" si="25"/>
        <v>0</v>
      </c>
      <c r="L83" s="128">
        <f t="shared" si="25"/>
        <v>1747922.4371681984</v>
      </c>
      <c r="M83" s="126">
        <f t="shared" si="25"/>
        <v>1750338.9648343015</v>
      </c>
      <c r="N83" s="127">
        <f t="shared" si="25"/>
        <v>0</v>
      </c>
      <c r="O83" s="128">
        <f t="shared" si="25"/>
        <v>1750338.9648343015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896513.48986988293</v>
      </c>
      <c r="G88" s="72"/>
      <c r="H88" s="73"/>
      <c r="I88" s="136">
        <f>I81-I85</f>
        <v>930526.09533040831</v>
      </c>
      <c r="J88" s="72"/>
      <c r="K88" s="73"/>
      <c r="L88" s="136">
        <f>L81-L85</f>
        <v>952777.98220540828</v>
      </c>
      <c r="M88" s="72"/>
      <c r="N88" s="73"/>
      <c r="O88" s="136">
        <f>O81-O85</f>
        <v>948026.09533040831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692470.10893728712</v>
      </c>
      <c r="G89" s="34"/>
      <c r="H89" s="76"/>
      <c r="I89" s="138">
        <f>I82-I86</f>
        <v>729656.41807418922</v>
      </c>
      <c r="J89" s="34"/>
      <c r="K89" s="76"/>
      <c r="L89" s="138">
        <f>L82-L86</f>
        <v>795144.45496279013</v>
      </c>
      <c r="M89" s="34"/>
      <c r="N89" s="76"/>
      <c r="O89" s="138">
        <f>O82-O86</f>
        <v>802312.86950389319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1588983.5988071701</v>
      </c>
      <c r="G90" s="81"/>
      <c r="H90" s="82"/>
      <c r="I90" s="139">
        <f>+I88+I89</f>
        <v>1660182.5134045975</v>
      </c>
      <c r="J90" s="81"/>
      <c r="K90" s="82"/>
      <c r="L90" s="139">
        <f>+L88+L89</f>
        <v>1747922.4371681984</v>
      </c>
      <c r="M90" s="81"/>
      <c r="N90" s="82"/>
      <c r="O90" s="139">
        <f>+O88+O89</f>
        <v>1750338.9648343015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-280.72002146096565</v>
      </c>
      <c r="E92" s="143">
        <v>0</v>
      </c>
      <c r="F92" s="144">
        <f>D92+E92</f>
        <v>-280.72002146096565</v>
      </c>
      <c r="G92" s="142">
        <v>-13307.776551223138</v>
      </c>
      <c r="H92" s="143">
        <v>0</v>
      </c>
      <c r="I92" s="144">
        <f>G92+H92</f>
        <v>-13307.776551223138</v>
      </c>
      <c r="J92" s="142">
        <v>-13307.776551223138</v>
      </c>
      <c r="K92" s="143">
        <v>0</v>
      </c>
      <c r="L92" s="144">
        <f>J92+K92</f>
        <v>-13307.776551223138</v>
      </c>
      <c r="M92" s="142">
        <v>-13307.776551223138</v>
      </c>
      <c r="N92" s="143">
        <v>0</v>
      </c>
      <c r="O92" s="144">
        <f>M92+N92</f>
        <v>-13307.776551223138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1732099.5065211286</v>
      </c>
      <c r="E96" s="166">
        <f>E6+E7+E8+E9+E11+E25+E30+E40+E42+E21+E45</f>
        <v>0</v>
      </c>
      <c r="F96" s="166">
        <f t="shared" ref="F96" si="26">F6+F7+F8+F9+F11+F25+F30+F40+F42</f>
        <v>1732099.5065211286</v>
      </c>
      <c r="G96" s="166">
        <f t="shared" ref="G96" si="27">G6+G7+G8+G9+G11+G25+G30+G40+G42+G21+G45</f>
        <v>1778605.2239827586</v>
      </c>
      <c r="H96" s="166">
        <f t="shared" ref="H96" si="28">H6+H7+H8+H9+H11+H25+H30+H40+H42</f>
        <v>0</v>
      </c>
      <c r="I96" s="166">
        <f t="shared" ref="I96" si="29">I6+I7+I8+I9+I11+I25+I30+I40+I42+I21+I45</f>
        <v>1778605.2239827586</v>
      </c>
      <c r="J96" s="166">
        <f t="shared" ref="J96" si="30">J6+J7+J8+J9+J11+J25+J30+J40+J42</f>
        <v>1773964.6813926545</v>
      </c>
      <c r="K96" s="166">
        <f t="shared" ref="K96" si="31">K6+K7+K8+K9+K11+K25+K30+K40+K42+K21+K45</f>
        <v>0</v>
      </c>
      <c r="L96" s="166">
        <f t="shared" ref="L96" si="32">L6+L7+L8+L9+L11+L25+L30+L40+L42</f>
        <v>1773964.6813926545</v>
      </c>
      <c r="M96" s="166">
        <f>M6+M7+M8+M9+M11+M25+M30+M40+M42+M22+M45</f>
        <v>1763633.0959337577</v>
      </c>
      <c r="N96" s="166">
        <f t="shared" ref="N96" si="33">N6+N7+N8+N9+N11+N25+N30+N40+N42</f>
        <v>0</v>
      </c>
      <c r="O96" s="166">
        <f t="shared" ref="O96" si="34">O6+O7+O8+O9+O11+O25+O30+O40+O42+O21+O45</f>
        <v>1763633.0959337577</v>
      </c>
    </row>
    <row r="97" spans="4:15" s="14" customFormat="1">
      <c r="D97" s="166">
        <f>D96-D15-D19</f>
        <v>1683757.0812905733</v>
      </c>
      <c r="E97" s="166">
        <f>E96-E15-E19</f>
        <v>0</v>
      </c>
      <c r="F97" s="166">
        <f t="shared" ref="F97:O97" si="35">F96-F15-F19</f>
        <v>1683757.0812905733</v>
      </c>
      <c r="G97" s="166">
        <f t="shared" si="35"/>
        <v>1730311.0928833028</v>
      </c>
      <c r="H97" s="166">
        <f t="shared" si="35"/>
        <v>0</v>
      </c>
      <c r="I97" s="166">
        <f t="shared" si="35"/>
        <v>1730311.0928833028</v>
      </c>
      <c r="J97" s="166">
        <f t="shared" si="35"/>
        <v>1725670.5502931988</v>
      </c>
      <c r="K97" s="166">
        <f t="shared" si="35"/>
        <v>0</v>
      </c>
      <c r="L97" s="166">
        <f t="shared" si="35"/>
        <v>1725670.5502931988</v>
      </c>
      <c r="M97" s="166">
        <f>M96-M15-M19</f>
        <v>1715338.964834302</v>
      </c>
      <c r="N97" s="166">
        <f t="shared" si="35"/>
        <v>0</v>
      </c>
      <c r="O97" s="166">
        <f t="shared" si="35"/>
        <v>1715338.964834302</v>
      </c>
    </row>
    <row r="98" spans="4:15" s="14" customFormat="1">
      <c r="D98" s="166">
        <f>D20+D44</f>
        <v>-94773.48248340319</v>
      </c>
      <c r="E98" s="166">
        <f>E20+E44</f>
        <v>0</v>
      </c>
      <c r="F98" s="166">
        <f t="shared" ref="F98:O98" si="36">F20+F44</f>
        <v>-94773.48248340319</v>
      </c>
      <c r="G98" s="166">
        <f t="shared" si="36"/>
        <v>-70128.579478704953</v>
      </c>
      <c r="H98" s="166">
        <f t="shared" si="36"/>
        <v>0</v>
      </c>
      <c r="I98" s="166">
        <f t="shared" si="36"/>
        <v>-70128.579478704953</v>
      </c>
      <c r="J98" s="166">
        <f t="shared" si="36"/>
        <v>22251.886875000004</v>
      </c>
      <c r="K98" s="166">
        <f t="shared" si="36"/>
        <v>0</v>
      </c>
      <c r="L98" s="166">
        <f t="shared" si="36"/>
        <v>22251.886875000004</v>
      </c>
      <c r="M98" s="166">
        <f t="shared" si="36"/>
        <v>35000</v>
      </c>
      <c r="N98" s="166">
        <f t="shared" si="36"/>
        <v>0</v>
      </c>
      <c r="O98" s="166">
        <f t="shared" si="36"/>
        <v>35000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75" priority="7" operator="containsText" text="ERRORE">
      <formula>NOT(ISERROR(SEARCH("ERRORE",F81)))</formula>
    </cfRule>
  </conditionalFormatting>
  <conditionalFormatting sqref="I83">
    <cfRule type="containsText" dxfId="74" priority="6" operator="containsText" text="ERRORE">
      <formula>NOT(ISERROR(SEARCH("ERRORE",I83)))</formula>
    </cfRule>
  </conditionalFormatting>
  <conditionalFormatting sqref="I81:I82">
    <cfRule type="containsText" dxfId="73" priority="5" operator="containsText" text="ERRORE">
      <formula>NOT(ISERROR(SEARCH("ERRORE",I81)))</formula>
    </cfRule>
  </conditionalFormatting>
  <conditionalFormatting sqref="L83">
    <cfRule type="containsText" dxfId="72" priority="4" operator="containsText" text="ERRORE">
      <formula>NOT(ISERROR(SEARCH("ERRORE",L83)))</formula>
    </cfRule>
  </conditionalFormatting>
  <conditionalFormatting sqref="L81:L82">
    <cfRule type="containsText" dxfId="71" priority="3" operator="containsText" text="ERRORE">
      <formula>NOT(ISERROR(SEARCH("ERRORE",L81)))</formula>
    </cfRule>
  </conditionalFormatting>
  <conditionalFormatting sqref="O83">
    <cfRule type="containsText" dxfId="70" priority="2" operator="containsText" text="ERRORE">
      <formula>NOT(ISERROR(SEARCH("ERRORE",O83)))</formula>
    </cfRule>
  </conditionalFormatting>
  <conditionalFormatting sqref="O81:O82">
    <cfRule type="containsText" dxfId="69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C13" zoomScale="70" zoomScaleNormal="70" zoomScalePageLayoutView="70" workbookViewId="0">
      <selection activeCell="K22" sqref="K22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108</v>
      </c>
      <c r="B1" s="2" t="str">
        <f>"       PEF 2022 - 2025"&amp;" - "&amp;A1</f>
        <v xml:space="preserve">       PEF 2022 - 2025 - San Donà di Piave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154</v>
      </c>
      <c r="E4" s="188"/>
      <c r="F4" s="189"/>
      <c r="G4" s="187" t="str">
        <f>D4</f>
        <v>Ambito tariffario: SAN DONA' DI PIAVE</v>
      </c>
      <c r="H4" s="188"/>
      <c r="I4" s="189"/>
      <c r="J4" s="187" t="str">
        <f>D4</f>
        <v>Ambito tariffario: SAN DONA' DI PIAVE</v>
      </c>
      <c r="K4" s="188"/>
      <c r="L4" s="189"/>
      <c r="M4" s="187" t="str">
        <f>D4</f>
        <v>Ambito tariffario: SAN DONA' DI PIAVE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773959.81799402961</v>
      </c>
      <c r="E6" s="22">
        <v>0</v>
      </c>
      <c r="F6" s="23">
        <f>D6+E6</f>
        <v>773959.81799402961</v>
      </c>
      <c r="G6" s="22">
        <v>800625.67528717301</v>
      </c>
      <c r="H6" s="22">
        <v>0</v>
      </c>
      <c r="I6" s="23">
        <f>G6+H6</f>
        <v>800625.67528717301</v>
      </c>
      <c r="J6" s="22">
        <v>800625.67528717301</v>
      </c>
      <c r="K6" s="22">
        <v>0</v>
      </c>
      <c r="L6" s="23">
        <f>J6+K6</f>
        <v>800625.67528717301</v>
      </c>
      <c r="M6" s="22">
        <v>800625.67528717301</v>
      </c>
      <c r="N6" s="22">
        <v>0</v>
      </c>
      <c r="O6" s="23">
        <f>M6+N6</f>
        <v>800625.67528717301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511741.86213218106</v>
      </c>
      <c r="E7" s="22">
        <v>0</v>
      </c>
      <c r="F7" s="23">
        <f t="shared" ref="F7:F20" si="0">D7+E7</f>
        <v>511741.86213218106</v>
      </c>
      <c r="G7" s="22">
        <v>535681.91015671846</v>
      </c>
      <c r="H7" s="22">
        <v>0</v>
      </c>
      <c r="I7" s="23">
        <f t="shared" ref="I7:I13" si="1">G7+H7</f>
        <v>535681.91015671846</v>
      </c>
      <c r="J7" s="22">
        <v>535681.91015671846</v>
      </c>
      <c r="K7" s="22">
        <v>0</v>
      </c>
      <c r="L7" s="23">
        <f t="shared" ref="L7:L12" si="2">J7+K7</f>
        <v>535681.91015671846</v>
      </c>
      <c r="M7" s="22">
        <v>535681.91015671846</v>
      </c>
      <c r="N7" s="22">
        <v>0</v>
      </c>
      <c r="O7" s="23">
        <f t="shared" ref="O7:O13" si="3">M7+N7</f>
        <v>535681.91015671846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886005.23612809076</v>
      </c>
      <c r="E8" s="22">
        <v>0</v>
      </c>
      <c r="F8" s="23">
        <f t="shared" si="0"/>
        <v>886005.23612809076</v>
      </c>
      <c r="G8" s="22">
        <v>927475.61213914026</v>
      </c>
      <c r="H8" s="22">
        <v>0</v>
      </c>
      <c r="I8" s="23">
        <f t="shared" si="1"/>
        <v>927475.61213914026</v>
      </c>
      <c r="J8" s="22">
        <v>927475.61213914026</v>
      </c>
      <c r="K8" s="22">
        <v>0</v>
      </c>
      <c r="L8" s="23">
        <f t="shared" si="2"/>
        <v>927475.61213914026</v>
      </c>
      <c r="M8" s="22">
        <v>927475.61213914026</v>
      </c>
      <c r="N8" s="22">
        <v>0</v>
      </c>
      <c r="O8" s="23">
        <f t="shared" si="3"/>
        <v>927475.61213914026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1754955.1138099597</v>
      </c>
      <c r="E9" s="22">
        <v>0</v>
      </c>
      <c r="F9" s="23">
        <f t="shared" si="0"/>
        <v>1754955.1138099597</v>
      </c>
      <c r="G9" s="22">
        <v>1804521.7138140062</v>
      </c>
      <c r="H9" s="22">
        <v>0</v>
      </c>
      <c r="I9" s="23">
        <f t="shared" si="1"/>
        <v>1804521.7138140062</v>
      </c>
      <c r="J9" s="22">
        <v>1804521.7138140062</v>
      </c>
      <c r="K9" s="22">
        <v>0</v>
      </c>
      <c r="L9" s="23">
        <f t="shared" si="2"/>
        <v>1804521.7138140062</v>
      </c>
      <c r="M9" s="22">
        <v>1804521.7138140062</v>
      </c>
      <c r="N9" s="22">
        <v>0</v>
      </c>
      <c r="O9" s="23">
        <f t="shared" si="3"/>
        <v>1804521.7138140062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16607.149505454276</v>
      </c>
      <c r="E11" s="22">
        <v>0</v>
      </c>
      <c r="F11" s="23">
        <f t="shared" si="0"/>
        <v>16607.149505454276</v>
      </c>
      <c r="G11" s="22">
        <v>16607.149505454276</v>
      </c>
      <c r="H11" s="22">
        <v>0</v>
      </c>
      <c r="I11" s="23">
        <f t="shared" si="1"/>
        <v>16607.149505454276</v>
      </c>
      <c r="J11" s="22">
        <v>16607.149505454276</v>
      </c>
      <c r="K11" s="22">
        <v>0</v>
      </c>
      <c r="L11" s="23">
        <f t="shared" si="2"/>
        <v>16607.149505454276</v>
      </c>
      <c r="M11" s="22">
        <v>16607.149505454276</v>
      </c>
      <c r="N11" s="22">
        <v>0</v>
      </c>
      <c r="O11" s="23">
        <f t="shared" si="3"/>
        <v>16607.149505454276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430377.68887991528</v>
      </c>
      <c r="E13" s="22">
        <v>0</v>
      </c>
      <c r="F13" s="23">
        <f t="shared" si="0"/>
        <v>430377.68887991528</v>
      </c>
      <c r="G13" s="22">
        <v>429947.74113877653</v>
      </c>
      <c r="H13" s="22">
        <v>0</v>
      </c>
      <c r="I13" s="23">
        <f t="shared" si="1"/>
        <v>429947.74113877653</v>
      </c>
      <c r="J13" s="22">
        <v>429947.74113877653</v>
      </c>
      <c r="K13" s="22">
        <v>0</v>
      </c>
      <c r="L13" s="23">
        <f>J13+K13</f>
        <v>429947.74113877653</v>
      </c>
      <c r="M13" s="22">
        <v>429947.74113877653</v>
      </c>
      <c r="N13" s="22">
        <v>0</v>
      </c>
      <c r="O13" s="23">
        <f t="shared" si="3"/>
        <v>429947.74113877653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258226.61332794916</v>
      </c>
      <c r="E15" s="22">
        <v>0</v>
      </c>
      <c r="F15" s="23">
        <f t="shared" si="0"/>
        <v>258226.61332794916</v>
      </c>
      <c r="G15" s="22">
        <v>257968.64468326591</v>
      </c>
      <c r="H15" s="22">
        <v>0</v>
      </c>
      <c r="I15" s="23">
        <f t="shared" ref="I15:I16" si="4">G15+H15</f>
        <v>257968.64468326591</v>
      </c>
      <c r="J15" s="22">
        <v>257968.64468326591</v>
      </c>
      <c r="K15" s="22">
        <v>0</v>
      </c>
      <c r="L15" s="23">
        <f t="shared" ref="L15:L16" si="5">J15+K15</f>
        <v>257968.64468326591</v>
      </c>
      <c r="M15" s="22">
        <v>257968.64468326591</v>
      </c>
      <c r="N15" s="22">
        <v>0</v>
      </c>
      <c r="O15" s="23">
        <f t="shared" ref="O15:O16" si="6">M15+N15</f>
        <v>257968.64468326591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18861.813101214819</v>
      </c>
      <c r="E16" s="22">
        <v>0</v>
      </c>
      <c r="F16" s="23">
        <f t="shared" si="0"/>
        <v>18861.813101214819</v>
      </c>
      <c r="G16" s="22">
        <v>18842.970131083737</v>
      </c>
      <c r="H16" s="22">
        <v>0</v>
      </c>
      <c r="I16" s="23">
        <f t="shared" si="4"/>
        <v>18842.970131083737</v>
      </c>
      <c r="J16" s="22">
        <v>18842.970131083737</v>
      </c>
      <c r="K16" s="22">
        <v>0</v>
      </c>
      <c r="L16" s="23">
        <f t="shared" si="5"/>
        <v>18842.970131083737</v>
      </c>
      <c r="M16" s="22">
        <v>18842.970131083737</v>
      </c>
      <c r="N16" s="22">
        <v>0</v>
      </c>
      <c r="O16" s="23">
        <f t="shared" si="6"/>
        <v>18842.970131083737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12448.79664680178</v>
      </c>
      <c r="E19" s="22">
        <v>0</v>
      </c>
      <c r="F19" s="23">
        <f t="shared" si="0"/>
        <v>12448.79664680178</v>
      </c>
      <c r="G19" s="22">
        <v>12436.360286515268</v>
      </c>
      <c r="H19" s="22">
        <v>0</v>
      </c>
      <c r="I19" s="23">
        <f t="shared" ref="I19:I20" si="7">G19+H19</f>
        <v>12436.360286515268</v>
      </c>
      <c r="J19" s="22">
        <v>12436.360286515268</v>
      </c>
      <c r="K19" s="22">
        <v>0</v>
      </c>
      <c r="L19" s="23">
        <f t="shared" ref="L19:L20" si="8">J19+K19</f>
        <v>12436.360286515268</v>
      </c>
      <c r="M19" s="32">
        <v>12436.360286515268</v>
      </c>
      <c r="N19" s="33">
        <v>0</v>
      </c>
      <c r="O19" s="23">
        <f t="shared" ref="O19:O20" si="9">M19+N19</f>
        <v>12436.360286515268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464731.15628051874</v>
      </c>
      <c r="E20" s="22">
        <v>0</v>
      </c>
      <c r="F20" s="23">
        <f t="shared" si="0"/>
        <v>464731.15628051874</v>
      </c>
      <c r="G20" s="22">
        <v>640997.49366484128</v>
      </c>
      <c r="H20" s="22">
        <v>0</v>
      </c>
      <c r="I20" s="23">
        <f t="shared" si="7"/>
        <v>640997.49366484128</v>
      </c>
      <c r="J20" s="22">
        <v>156437.76112500002</v>
      </c>
      <c r="K20" s="22">
        <v>0</v>
      </c>
      <c r="L20" s="23">
        <f t="shared" si="8"/>
        <v>156437.76112500002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/>
      <c r="F21" s="23">
        <f>E21</f>
        <v>0</v>
      </c>
      <c r="G21" s="34"/>
      <c r="H21" s="22"/>
      <c r="I21" s="23">
        <f>H21</f>
        <v>0</v>
      </c>
      <c r="J21" s="34"/>
      <c r="K21" s="22"/>
      <c r="L21" s="23">
        <f>K21</f>
        <v>0</v>
      </c>
      <c r="M21" s="34"/>
      <c r="N21" s="22"/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>
        <v>382250</v>
      </c>
      <c r="K22" s="22">
        <v>0</v>
      </c>
      <c r="L22" s="36">
        <f t="shared" ref="L22" si="11">J22+K22</f>
        <v>382250</v>
      </c>
      <c r="M22" s="22">
        <v>1006541</v>
      </c>
      <c r="N22" s="22">
        <v>0</v>
      </c>
      <c r="O22" s="36">
        <f t="shared" ref="O22" si="12">M22+N22</f>
        <v>1006541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4137324.9258754831</v>
      </c>
      <c r="E23" s="38">
        <f>E6+E7+E8+E9+E10+E11+E12-E15-E19+E20+E21</f>
        <v>0</v>
      </c>
      <c r="F23" s="38">
        <f>D23+E23</f>
        <v>4137324.9258754831</v>
      </c>
      <c r="G23" s="38">
        <f>G6+G7+G8+G9+G10+G11+G12-G15-G19+G20+G22</f>
        <v>4455504.549597552</v>
      </c>
      <c r="H23" s="38">
        <f>H6+H7+H8+H9+H10+H11+H12-H15-H19+H20+H21+H22</f>
        <v>0</v>
      </c>
      <c r="I23" s="38">
        <f>G23+H23</f>
        <v>4455504.549597552</v>
      </c>
      <c r="J23" s="38">
        <f>J6+J7+J8+J9+J10+J11+J12-J15-J19+J20+J22</f>
        <v>4353194.8170577111</v>
      </c>
      <c r="K23" s="38">
        <f>K6+K7+K8+K9+K10+K11+K12-K15-K19+K20+K21+K22</f>
        <v>0</v>
      </c>
      <c r="L23" s="38">
        <f>J23+K23</f>
        <v>4353194.8170577111</v>
      </c>
      <c r="M23" s="38">
        <f>M6+M7+M8+M9+M10+M11+M12-M15-M19+M20+M22</f>
        <v>4821048.0559327109</v>
      </c>
      <c r="N23" s="38">
        <f>N6+N7+N8+N9+N10+N11+N12-N15-N19+N20+N21+N22</f>
        <v>0</v>
      </c>
      <c r="O23" s="38">
        <f>M23+N23</f>
        <v>4821048.0559327109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917946.37952549313</v>
      </c>
      <c r="E25" s="44">
        <v>0</v>
      </c>
      <c r="F25" s="45">
        <f t="shared" ref="F25:F44" si="13">D25+E25</f>
        <v>917946.37952549313</v>
      </c>
      <c r="G25" s="44">
        <v>959489.88113258209</v>
      </c>
      <c r="H25" s="44">
        <v>0</v>
      </c>
      <c r="I25" s="45">
        <f t="shared" ref="I25:I33" si="14">G25+H25</f>
        <v>959489.88113258209</v>
      </c>
      <c r="J25" s="44">
        <v>959489.88113258209</v>
      </c>
      <c r="K25" s="44">
        <v>0</v>
      </c>
      <c r="L25" s="45">
        <f t="shared" ref="L25:L44" si="15">J25+K25</f>
        <v>959489.88113258209</v>
      </c>
      <c r="M25" s="44">
        <v>959489.88113258209</v>
      </c>
      <c r="N25" s="44">
        <v>0</v>
      </c>
      <c r="O25" s="45">
        <f t="shared" ref="O25:O43" si="16">M25+N25</f>
        <v>959489.88113258209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280756.67366375547</v>
      </c>
      <c r="E26" s="22">
        <v>0</v>
      </c>
      <c r="F26" s="36">
        <f t="shared" si="13"/>
        <v>280756.67366375547</v>
      </c>
      <c r="G26" s="22">
        <v>288981.21796032239</v>
      </c>
      <c r="H26" s="22">
        <v>0</v>
      </c>
      <c r="I26" s="36">
        <f t="shared" si="14"/>
        <v>288981.21796032239</v>
      </c>
      <c r="J26" s="22">
        <v>288981.21796032239</v>
      </c>
      <c r="K26" s="22">
        <v>0</v>
      </c>
      <c r="L26" s="36">
        <f t="shared" si="15"/>
        <v>288981.21796032239</v>
      </c>
      <c r="M26" s="22">
        <v>288981.21796032239</v>
      </c>
      <c r="N26" s="22">
        <v>0</v>
      </c>
      <c r="O26" s="36">
        <f t="shared" si="16"/>
        <v>288981.21796032239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574933.34254436195</v>
      </c>
      <c r="E27" s="47">
        <v>0</v>
      </c>
      <c r="F27" s="48">
        <f t="shared" si="13"/>
        <v>574933.34254436195</v>
      </c>
      <c r="G27" s="47">
        <v>597071.94784561289</v>
      </c>
      <c r="H27" s="47">
        <v>0</v>
      </c>
      <c r="I27" s="48">
        <f t="shared" si="14"/>
        <v>597071.94784561289</v>
      </c>
      <c r="J27" s="47">
        <v>597071.94784561289</v>
      </c>
      <c r="K27" s="47">
        <v>0</v>
      </c>
      <c r="L27" s="48">
        <f t="shared" si="15"/>
        <v>597071.94784561289</v>
      </c>
      <c r="M27" s="47">
        <v>597071.94784561289</v>
      </c>
      <c r="N27" s="47">
        <v>0</v>
      </c>
      <c r="O27" s="48">
        <f t="shared" si="16"/>
        <v>597071.94784561289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34421.351725076951</v>
      </c>
      <c r="E29" s="47">
        <v>0</v>
      </c>
      <c r="F29" s="48">
        <f t="shared" si="13"/>
        <v>34421.351725076951</v>
      </c>
      <c r="G29" s="47">
        <v>34668.640165576908</v>
      </c>
      <c r="H29" s="47">
        <v>0</v>
      </c>
      <c r="I29" s="48">
        <f t="shared" si="14"/>
        <v>34668.640165576908</v>
      </c>
      <c r="J29" s="47">
        <v>34668.640165576908</v>
      </c>
      <c r="K29" s="47">
        <v>0</v>
      </c>
      <c r="L29" s="48">
        <f t="shared" si="15"/>
        <v>34668.640165576908</v>
      </c>
      <c r="M29" s="47">
        <v>34668.640165576908</v>
      </c>
      <c r="N29" s="47">
        <v>0</v>
      </c>
      <c r="O29" s="48">
        <f t="shared" si="16"/>
        <v>34668.640165576908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890111.36793319427</v>
      </c>
      <c r="E30" s="51">
        <f>+E26+E27+E28+E29</f>
        <v>0</v>
      </c>
      <c r="F30" s="52">
        <f t="shared" si="13"/>
        <v>890111.36793319427</v>
      </c>
      <c r="G30" s="51">
        <f>+G26+G27+G28+G29</f>
        <v>920721.80597151222</v>
      </c>
      <c r="H30" s="51">
        <f>+H26+H27+H28+H29</f>
        <v>0</v>
      </c>
      <c r="I30" s="52">
        <f t="shared" si="14"/>
        <v>920721.80597151222</v>
      </c>
      <c r="J30" s="51">
        <f>+J26+J27+J28+J29</f>
        <v>920721.80597151222</v>
      </c>
      <c r="K30" s="51">
        <f>+K26+K27+K28+K29</f>
        <v>0</v>
      </c>
      <c r="L30" s="52">
        <f t="shared" si="15"/>
        <v>920721.80597151222</v>
      </c>
      <c r="M30" s="51">
        <f>+M26+M27+M28+M29</f>
        <v>920721.80597151222</v>
      </c>
      <c r="N30" s="51">
        <f>+N26+N27+N28+N29</f>
        <v>0</v>
      </c>
      <c r="O30" s="52">
        <f t="shared" si="16"/>
        <v>920721.80597151222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530954.68821631791</v>
      </c>
      <c r="E31" s="53">
        <v>0</v>
      </c>
      <c r="F31" s="48">
        <f t="shared" si="13"/>
        <v>530954.68821631791</v>
      </c>
      <c r="G31" s="147">
        <f>VLOOKUP($A$1,REM_ToolEnrico!$B$5:$J$38,4,FALSE)</f>
        <v>498098.37375283998</v>
      </c>
      <c r="H31" s="53">
        <v>0</v>
      </c>
      <c r="I31" s="48">
        <f t="shared" si="14"/>
        <v>498098.37375283998</v>
      </c>
      <c r="J31" s="147">
        <f>VLOOKUP($A$1,REM_ToolEnrico!$B$5:$J$38,6,FALSE)</f>
        <v>354379.30857405375</v>
      </c>
      <c r="K31" s="53">
        <v>0</v>
      </c>
      <c r="L31" s="48">
        <f t="shared" si="15"/>
        <v>354379.30857405375</v>
      </c>
      <c r="M31" s="147">
        <f>VLOOKUP($A$1,REM_ToolEnrico!$B$5:$J$38,8,FALSE)</f>
        <v>353749.01784370857</v>
      </c>
      <c r="N31" s="53">
        <v>0</v>
      </c>
      <c r="O31" s="48">
        <f t="shared" si="16"/>
        <v>353749.01784370857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290724.84790079092</v>
      </c>
      <c r="E32" s="54">
        <f>+E33+E34+E35+E36</f>
        <v>0</v>
      </c>
      <c r="F32" s="48">
        <f t="shared" si="13"/>
        <v>290724.84790079092</v>
      </c>
      <c r="G32" s="54">
        <f>+G33+G34+G35+G36</f>
        <v>290434.41348730371</v>
      </c>
      <c r="H32" s="54">
        <f>+H33+H34+H35+H36</f>
        <v>0</v>
      </c>
      <c r="I32" s="48">
        <f t="shared" si="14"/>
        <v>290434.41348730371</v>
      </c>
      <c r="J32" s="54">
        <f>+J33+J34+J35+J36</f>
        <v>290434.41348730371</v>
      </c>
      <c r="K32" s="54">
        <f>+K33+K34+K35+K36</f>
        <v>0</v>
      </c>
      <c r="L32" s="48">
        <f t="shared" si="15"/>
        <v>290434.41348730371</v>
      </c>
      <c r="M32" s="54">
        <f>+M33+M34+M35+M36</f>
        <v>290434.41348730371</v>
      </c>
      <c r="N32" s="54">
        <f>+N33+N34+N35+N36</f>
        <v>0</v>
      </c>
      <c r="O32" s="48">
        <f t="shared" si="16"/>
        <v>290434.41348730371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290724.84790079092</v>
      </c>
      <c r="E34" s="47">
        <v>0</v>
      </c>
      <c r="F34" s="48">
        <f>D34+E34</f>
        <v>290724.84790079092</v>
      </c>
      <c r="G34" s="47">
        <v>290434.41348730371</v>
      </c>
      <c r="H34" s="47">
        <v>0</v>
      </c>
      <c r="I34" s="48">
        <f>G34+H34</f>
        <v>290434.41348730371</v>
      </c>
      <c r="J34" s="47">
        <v>290434.41348730371</v>
      </c>
      <c r="K34" s="158">
        <v>0</v>
      </c>
      <c r="L34" s="48">
        <f t="shared" si="15"/>
        <v>290434.41348730371</v>
      </c>
      <c r="M34" s="47">
        <v>290434.41348730371</v>
      </c>
      <c r="N34" s="158">
        <v>0</v>
      </c>
      <c r="O34" s="48">
        <f t="shared" si="16"/>
        <v>290434.41348730371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158818.80915976386</v>
      </c>
      <c r="E37" s="47">
        <v>0</v>
      </c>
      <c r="F37" s="48">
        <f t="shared" si="13"/>
        <v>158818.80915976386</v>
      </c>
      <c r="G37" s="147">
        <f>VLOOKUP($A$1,REM_ToolEnrico!$B$5:$J$38,5,FALSE)</f>
        <v>129058.85930058893</v>
      </c>
      <c r="H37" s="47">
        <v>0</v>
      </c>
      <c r="I37" s="48">
        <f t="shared" si="17"/>
        <v>129058.85930058893</v>
      </c>
      <c r="J37" s="147">
        <f>VLOOKUP($A$1,REM_ToolEnrico!$B$5:$J$38,7,FALSE)</f>
        <v>110093.17425071138</v>
      </c>
      <c r="K37" s="47">
        <v>0</v>
      </c>
      <c r="L37" s="48">
        <f t="shared" si="15"/>
        <v>110093.17425071138</v>
      </c>
      <c r="M37" s="147">
        <f>VLOOKUP($A$1,REM_ToolEnrico!$B$5:$J$38,9,FALSE)</f>
        <v>107600.51295915876</v>
      </c>
      <c r="N37" s="47">
        <v>0</v>
      </c>
      <c r="O37" s="48">
        <f t="shared" si="16"/>
        <v>107600.51295915876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1151.5223439064077</v>
      </c>
      <c r="E38" s="47">
        <v>0</v>
      </c>
      <c r="F38" s="48">
        <f t="shared" si="13"/>
        <v>1151.5223439064077</v>
      </c>
      <c r="G38" s="47">
        <v>1153.8253885942204</v>
      </c>
      <c r="H38" s="47">
        <v>0</v>
      </c>
      <c r="I38" s="48">
        <f t="shared" si="17"/>
        <v>1153.8253885942204</v>
      </c>
      <c r="J38" s="47">
        <v>1153.8253885942204</v>
      </c>
      <c r="K38" s="47">
        <v>0</v>
      </c>
      <c r="L38" s="48">
        <f t="shared" si="15"/>
        <v>1153.8253885942204</v>
      </c>
      <c r="M38" s="47">
        <v>1153.8253885942204</v>
      </c>
      <c r="N38" s="47">
        <v>0</v>
      </c>
      <c r="O38" s="48">
        <f t="shared" si="16"/>
        <v>1153.8253885942204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981649.86762077908</v>
      </c>
      <c r="E40" s="51">
        <f>E38+E37+E32+E31+E39</f>
        <v>0</v>
      </c>
      <c r="F40" s="52">
        <f t="shared" si="13"/>
        <v>981649.86762077908</v>
      </c>
      <c r="G40" s="51">
        <f>G38+G37+G32+G31+G39</f>
        <v>918745.47192932689</v>
      </c>
      <c r="H40" s="51">
        <f>H38+H37+H32+H31+H39</f>
        <v>0</v>
      </c>
      <c r="I40" s="52">
        <f t="shared" si="17"/>
        <v>918745.47192932689</v>
      </c>
      <c r="J40" s="51">
        <f>J38+J37+J32+J31+J39</f>
        <v>756060.72170066298</v>
      </c>
      <c r="K40" s="51">
        <f>K38+K37+K32+K31+K39</f>
        <v>0</v>
      </c>
      <c r="L40" s="52">
        <f t="shared" si="15"/>
        <v>756060.72170066298</v>
      </c>
      <c r="M40" s="51">
        <f>M38+M37+M32+M31+M39</f>
        <v>752937.76967876521</v>
      </c>
      <c r="N40" s="51">
        <f>N38+N37+N32+N31+N39</f>
        <v>0</v>
      </c>
      <c r="O40" s="52">
        <f t="shared" si="16"/>
        <v>752937.76967876521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27545.725313046823</v>
      </c>
      <c r="E42" s="22">
        <v>0</v>
      </c>
      <c r="F42" s="36">
        <f t="shared" si="13"/>
        <v>27545.725313046823</v>
      </c>
      <c r="G42" s="22">
        <v>51902.877921046427</v>
      </c>
      <c r="H42" s="22">
        <v>0</v>
      </c>
      <c r="I42" s="36">
        <f t="shared" si="17"/>
        <v>51902.877921046427</v>
      </c>
      <c r="J42" s="22">
        <v>51902.877921046427</v>
      </c>
      <c r="K42" s="22">
        <v>0</v>
      </c>
      <c r="L42" s="36">
        <f t="shared" si="15"/>
        <v>51902.877921046427</v>
      </c>
      <c r="M42" s="22">
        <v>51902.877921046427</v>
      </c>
      <c r="N42" s="22">
        <v>0</v>
      </c>
      <c r="O42" s="36">
        <f t="shared" si="16"/>
        <v>51902.877921046427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0</v>
      </c>
      <c r="F44" s="36">
        <f t="shared" si="13"/>
        <v>0</v>
      </c>
      <c r="G44" s="57">
        <v>0</v>
      </c>
      <c r="H44" s="57">
        <v>0</v>
      </c>
      <c r="I44" s="36">
        <f t="shared" si="17"/>
        <v>0</v>
      </c>
      <c r="J44" s="57">
        <v>0</v>
      </c>
      <c r="K44" s="57">
        <v>0</v>
      </c>
      <c r="L44" s="36">
        <f t="shared" si="15"/>
        <v>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2817253.3403925137</v>
      </c>
      <c r="E47" s="59">
        <f>E25+E30+E40+E41+E42+E43+E44+E45</f>
        <v>0</v>
      </c>
      <c r="F47" s="60">
        <f>D47+E47</f>
        <v>2817253.3403925137</v>
      </c>
      <c r="G47" s="59">
        <f>G25+G30+G40+G41+G42+G43+G44+G46</f>
        <v>2850860.0369544677</v>
      </c>
      <c r="H47" s="59">
        <f>H25+H30+H40+H41+H42+H43+H44+H45+H46</f>
        <v>0</v>
      </c>
      <c r="I47" s="60">
        <f>G47+H47</f>
        <v>2850860.0369544677</v>
      </c>
      <c r="J47" s="59">
        <f>J25+J30+J40+J41+J42+J43+J44+J46</f>
        <v>2688175.2867258037</v>
      </c>
      <c r="K47" s="59">
        <f>K25+K30+K40+K41+K42+K43+K44+K45+K46</f>
        <v>0</v>
      </c>
      <c r="L47" s="60">
        <f>J47+K47</f>
        <v>2688175.2867258037</v>
      </c>
      <c r="M47" s="59">
        <f>M25+M30+M40+M41+M42+M43+M44+M46</f>
        <v>2685052.334703906</v>
      </c>
      <c r="N47" s="59">
        <f>N25+N30+N40+N41+N42+N43+N44+N45+N46</f>
        <v>0</v>
      </c>
      <c r="O47" s="60">
        <f>M47+N47</f>
        <v>2685052.334703906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6954578.2662679963</v>
      </c>
      <c r="E49" s="65">
        <v>0</v>
      </c>
      <c r="F49" s="65">
        <f>D49+E49</f>
        <v>6954578.2662679963</v>
      </c>
      <c r="G49" s="65">
        <f>G50</f>
        <v>7306364.5865520202</v>
      </c>
      <c r="H49" s="65">
        <v>0</v>
      </c>
      <c r="I49" s="65">
        <f t="shared" ref="I49" si="21">G49+H49</f>
        <v>7306364.5865520202</v>
      </c>
      <c r="J49" s="65">
        <f>J50</f>
        <v>7041370.1037835144</v>
      </c>
      <c r="K49" s="65">
        <v>0</v>
      </c>
      <c r="L49" s="65">
        <f t="shared" ref="L49" si="22">J49+K49</f>
        <v>7041370.1037835144</v>
      </c>
      <c r="M49" s="65">
        <f>M50</f>
        <v>7506100.3906366173</v>
      </c>
      <c r="N49" s="65">
        <v>0</v>
      </c>
      <c r="O49" s="65">
        <f t="shared" ref="O49" si="23">M49+N49</f>
        <v>7506100.3906366173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6954578.2662679963</v>
      </c>
      <c r="E50" s="59">
        <f t="shared" si="24"/>
        <v>0</v>
      </c>
      <c r="F50" s="59">
        <f t="shared" si="24"/>
        <v>6954578.2662679963</v>
      </c>
      <c r="G50" s="59">
        <f>+G23+G47</f>
        <v>7306364.5865520202</v>
      </c>
      <c r="H50" s="59">
        <f t="shared" si="24"/>
        <v>0</v>
      </c>
      <c r="I50" s="59">
        <f t="shared" si="24"/>
        <v>7306364.5865520202</v>
      </c>
      <c r="J50" s="59">
        <f t="shared" si="24"/>
        <v>7041370.1037835144</v>
      </c>
      <c r="K50" s="59">
        <f>+K23+K47</f>
        <v>0</v>
      </c>
      <c r="L50" s="59">
        <f t="shared" si="24"/>
        <v>7041370.1037835144</v>
      </c>
      <c r="M50" s="59">
        <f>+M23+M47</f>
        <v>7506100.3906366173</v>
      </c>
      <c r="N50" s="59">
        <f t="shared" si="24"/>
        <v>0</v>
      </c>
      <c r="O50" s="59">
        <f t="shared" si="24"/>
        <v>7506100.3906366173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464731.15628051874</v>
      </c>
      <c r="E51" s="68"/>
      <c r="F51" s="146"/>
      <c r="G51" s="68">
        <f>G44+G20</f>
        <v>640997.49366484128</v>
      </c>
      <c r="H51" s="68"/>
      <c r="I51" s="146"/>
      <c r="J51" s="68">
        <f>J44+J20</f>
        <v>156437.76112500002</v>
      </c>
      <c r="K51" s="68"/>
      <c r="L51" s="146"/>
      <c r="M51" s="68">
        <f>M44+M20</f>
        <v>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0.86160000000000003</v>
      </c>
      <c r="G53" s="72"/>
      <c r="H53" s="73"/>
      <c r="I53" s="74">
        <v>0.86160000000000003</v>
      </c>
      <c r="J53" s="72"/>
      <c r="K53" s="73"/>
      <c r="L53" s="74">
        <v>0.86160000000000003</v>
      </c>
      <c r="M53" s="72"/>
      <c r="N53" s="73"/>
      <c r="O53" s="74">
        <v>0.86160000000000003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19975.409</v>
      </c>
      <c r="G54" s="34"/>
      <c r="H54" s="76"/>
      <c r="I54" s="77">
        <v>19975.409</v>
      </c>
      <c r="J54" s="34"/>
      <c r="K54" s="76"/>
      <c r="L54" s="77">
        <v>19975.409</v>
      </c>
      <c r="M54" s="34"/>
      <c r="N54" s="76"/>
      <c r="O54" s="77">
        <v>19975.409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32.757737908056335</v>
      </c>
      <c r="G55" s="34"/>
      <c r="H55" s="76"/>
      <c r="I55" s="78">
        <v>29.099789946729011</v>
      </c>
      <c r="J55" s="34"/>
      <c r="K55" s="76"/>
      <c r="L55" s="78">
        <v>31.020376082922141</v>
      </c>
      <c r="M55" s="34"/>
      <c r="N55" s="76"/>
      <c r="O55" s="78">
        <v>33.067720904084794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35.05285006461574</v>
      </c>
      <c r="G56" s="81"/>
      <c r="H56" s="82"/>
      <c r="I56" s="78">
        <v>35.05285006461574</v>
      </c>
      <c r="J56" s="81"/>
      <c r="K56" s="82"/>
      <c r="L56" s="78">
        <v>35.05285006461574</v>
      </c>
      <c r="M56" s="81"/>
      <c r="N56" s="82"/>
      <c r="O56" s="78">
        <v>35.05285006461574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-6.5217011098428312E-2</v>
      </c>
      <c r="G60" s="90"/>
      <c r="H60" s="76"/>
      <c r="I60" s="89">
        <v>-6.5217011098428312E-2</v>
      </c>
      <c r="J60" s="34"/>
      <c r="K60" s="91"/>
      <c r="L60" s="89">
        <v>-6.5217011098428312E-2</v>
      </c>
      <c r="M60" s="34"/>
      <c r="N60" s="76"/>
      <c r="O60" s="89">
        <v>-6.5217011098428312E-2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-6.5217011098428312E-2</v>
      </c>
      <c r="G61" s="90"/>
      <c r="H61" s="76"/>
      <c r="I61" s="92">
        <v>-6.5217011098428312E-2</v>
      </c>
      <c r="J61" s="34"/>
      <c r="K61" s="76"/>
      <c r="L61" s="93">
        <v>-6.5217011098428312E-2</v>
      </c>
      <c r="M61" s="34"/>
      <c r="N61" s="76"/>
      <c r="O61" s="92">
        <v>-6.5217011098428312E-2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0.93478298890157174</v>
      </c>
      <c r="G62" s="95"/>
      <c r="H62" s="82"/>
      <c r="I62" s="94">
        <v>0.93478298890157174</v>
      </c>
      <c r="J62" s="81"/>
      <c r="K62" s="82"/>
      <c r="L62" s="94">
        <v>0.93478298890157174</v>
      </c>
      <c r="M62" s="81"/>
      <c r="N62" s="82"/>
      <c r="O62" s="94">
        <v>0.93478298890157174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1.00000001E-3</v>
      </c>
      <c r="G66" s="34"/>
      <c r="H66" s="76"/>
      <c r="I66" s="104">
        <v>1.00000001E-3</v>
      </c>
      <c r="J66" s="34"/>
      <c r="K66" s="76"/>
      <c r="L66" s="104">
        <v>1.00000001E-3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6.5999999990000002E-2</v>
      </c>
      <c r="G70" s="34"/>
      <c r="H70" s="76"/>
      <c r="I70" s="105">
        <v>6.5999999990000002E-2</v>
      </c>
      <c r="J70" s="34"/>
      <c r="K70" s="76"/>
      <c r="L70" s="105">
        <v>6.5999999990000002E-2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1.0659999999900001</v>
      </c>
      <c r="G71" s="34"/>
      <c r="H71" s="76"/>
      <c r="I71" s="106">
        <v>1.0659999999900001</v>
      </c>
      <c r="J71" s="34"/>
      <c r="K71" s="76"/>
      <c r="L71" s="106">
        <v>1.0659999999900001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6954578.2662679963</v>
      </c>
      <c r="G72" s="34"/>
      <c r="H72" s="76"/>
      <c r="I72" s="108">
        <f>I50</f>
        <v>7306364.5865520202</v>
      </c>
      <c r="J72" s="34"/>
      <c r="K72" s="76"/>
      <c r="L72" s="108">
        <f>L50</f>
        <v>7041370.1037835144</v>
      </c>
      <c r="M72" s="34"/>
      <c r="N72" s="76"/>
      <c r="O72" s="108">
        <f>O50</f>
        <v>7506100.3906366173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3440654.5142662348</v>
      </c>
      <c r="G73" s="34"/>
      <c r="H73" s="76"/>
      <c r="I73" s="110">
        <f>F81</f>
        <v>3379193.655509362</v>
      </c>
      <c r="J73" s="34"/>
      <c r="K73" s="76"/>
      <c r="L73" s="110">
        <f>I81</f>
        <v>3754552.4606149672</v>
      </c>
      <c r="M73" s="34"/>
      <c r="N73" s="76"/>
      <c r="O73" s="110">
        <f>L81</f>
        <v>4353194.435617161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2372147.5457337676</v>
      </c>
      <c r="G74" s="34"/>
      <c r="H74" s="76"/>
      <c r="I74" s="110">
        <f>F82</f>
        <v>2817253.3403925132</v>
      </c>
      <c r="J74" s="34"/>
      <c r="K74" s="76"/>
      <c r="L74" s="110">
        <f>I82</f>
        <v>2850860.0369544681</v>
      </c>
      <c r="M74" s="34"/>
      <c r="N74" s="76"/>
      <c r="O74" s="110">
        <f>L82</f>
        <v>2688175.2867258033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5812802.0600000024</v>
      </c>
      <c r="G75" s="34"/>
      <c r="H75" s="76"/>
      <c r="I75" s="111">
        <f>SUM(I73:I74)</f>
        <v>6196446.9959018752</v>
      </c>
      <c r="J75" s="34"/>
      <c r="K75" s="76"/>
      <c r="L75" s="111">
        <f>SUM(L73:L74)</f>
        <v>6605412.4975694353</v>
      </c>
      <c r="M75" s="34"/>
      <c r="N75" s="76"/>
      <c r="O75" s="111">
        <f>SUM(O73:O74)</f>
        <v>7041369.7223429643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1.1964244084836415</v>
      </c>
      <c r="G76" s="81"/>
      <c r="H76" s="82"/>
      <c r="I76" s="112">
        <f>I72/I75</f>
        <v>1.1791216145936869</v>
      </c>
      <c r="J76" s="81"/>
      <c r="K76" s="82"/>
      <c r="L76" s="112">
        <f>L72/L75</f>
        <v>1.0660000577366662</v>
      </c>
      <c r="M76" s="81"/>
      <c r="N76" s="82"/>
      <c r="O76" s="112">
        <f>O72/O75</f>
        <v>1.0660000378646524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6196446.9959018752</v>
      </c>
      <c r="G78" s="73"/>
      <c r="H78" s="73"/>
      <c r="I78" s="115">
        <f>IF(I72&lt;=I75*I71,I72,I75*I71)</f>
        <v>6605412.4975694353</v>
      </c>
      <c r="J78" s="73"/>
      <c r="K78" s="73"/>
      <c r="L78" s="115">
        <f>IF(L72&lt;=L75*L71,L72,L75*L71)</f>
        <v>7041369.7223429643</v>
      </c>
      <c r="M78" s="73"/>
      <c r="N78" s="73"/>
      <c r="O78" s="115">
        <f>IF(O72&lt;=O75*O71,O72,O75*O71)</f>
        <v>7499058.7542952569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758131.27036612108</v>
      </c>
      <c r="G79" s="34"/>
      <c r="H79" s="76"/>
      <c r="I79" s="117">
        <f>IF(I76&lt;=I71,0,I72-I78)</f>
        <v>700952.08898258489</v>
      </c>
      <c r="J79" s="82"/>
      <c r="K79" s="82"/>
      <c r="L79" s="117">
        <f>IF(L76&lt;=L71,0,L72-L78)</f>
        <v>0.38144055008888245</v>
      </c>
      <c r="M79" s="82"/>
      <c r="N79" s="82"/>
      <c r="O79" s="169">
        <f>IF(O76&lt;=O71,0,O72-O78)*0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3379193.655509362</v>
      </c>
      <c r="E81" s="120">
        <f>E23</f>
        <v>0</v>
      </c>
      <c r="F81" s="115">
        <f>D81+E81</f>
        <v>3379193.655509362</v>
      </c>
      <c r="G81" s="119">
        <f>G23-I79</f>
        <v>3754552.4606149672</v>
      </c>
      <c r="H81" s="120">
        <f>H23</f>
        <v>0</v>
      </c>
      <c r="I81" s="115">
        <f>G81+H81</f>
        <v>3754552.4606149672</v>
      </c>
      <c r="J81" s="119">
        <f>J23-L79</f>
        <v>4353194.435617161</v>
      </c>
      <c r="K81" s="120">
        <f>K23</f>
        <v>0</v>
      </c>
      <c r="L81" s="115">
        <f>J81+K81</f>
        <v>4353194.435617161</v>
      </c>
      <c r="M81" s="119">
        <f>M23-O79</f>
        <v>4821048.0559327109</v>
      </c>
      <c r="N81" s="120">
        <f>N23</f>
        <v>0</v>
      </c>
      <c r="O81" s="115">
        <f>M81+N81</f>
        <v>4821048.0559327109</v>
      </c>
    </row>
    <row r="82" spans="1:52" s="14" customFormat="1" ht="20" customHeight="1" thickBot="1">
      <c r="B82" s="118" t="s">
        <v>72</v>
      </c>
      <c r="D82" s="121">
        <f>D50-D81-F79</f>
        <v>2817253.3403925132</v>
      </c>
      <c r="E82" s="122">
        <f>E50-E81</f>
        <v>0</v>
      </c>
      <c r="F82" s="123">
        <f>D82+E82</f>
        <v>2817253.3403925132</v>
      </c>
      <c r="G82" s="121">
        <f>G49-G81-I79</f>
        <v>2850860.0369544681</v>
      </c>
      <c r="H82" s="122">
        <f>H50-H81</f>
        <v>0</v>
      </c>
      <c r="I82" s="123">
        <f>G82+H82</f>
        <v>2850860.0369544681</v>
      </c>
      <c r="J82" s="121">
        <f>J50-J81-L79</f>
        <v>2688175.2867258033</v>
      </c>
      <c r="K82" s="122">
        <f>K50-K81</f>
        <v>0</v>
      </c>
      <c r="L82" s="123">
        <f>J82+K82</f>
        <v>2688175.2867258033</v>
      </c>
      <c r="M82" s="121">
        <f>M49-M81-O79</f>
        <v>2685052.3347039064</v>
      </c>
      <c r="N82" s="122">
        <f>N50-N81</f>
        <v>0</v>
      </c>
      <c r="O82" s="123">
        <f>M82+N82</f>
        <v>2685052.3347039064</v>
      </c>
    </row>
    <row r="83" spans="1:52" s="124" customFormat="1" ht="17.25" customHeight="1" thickBot="1">
      <c r="B83" s="125" t="s">
        <v>73</v>
      </c>
      <c r="C83" s="14"/>
      <c r="D83" s="126">
        <f>SUM(D81:D82)</f>
        <v>6196446.9959018752</v>
      </c>
      <c r="E83" s="127">
        <f t="shared" ref="E83:O83" si="25">SUM(E81:E82)</f>
        <v>0</v>
      </c>
      <c r="F83" s="128">
        <f t="shared" si="25"/>
        <v>6196446.9959018752</v>
      </c>
      <c r="G83" s="126">
        <f t="shared" si="25"/>
        <v>6605412.4975694353</v>
      </c>
      <c r="H83" s="127">
        <f t="shared" si="25"/>
        <v>0</v>
      </c>
      <c r="I83" s="128">
        <f t="shared" si="25"/>
        <v>6605412.4975694353</v>
      </c>
      <c r="J83" s="126">
        <f t="shared" si="25"/>
        <v>7041369.7223429643</v>
      </c>
      <c r="K83" s="127">
        <f t="shared" si="25"/>
        <v>0</v>
      </c>
      <c r="L83" s="128">
        <f t="shared" si="25"/>
        <v>7041369.7223429643</v>
      </c>
      <c r="M83" s="126">
        <f t="shared" si="25"/>
        <v>7506100.3906366173</v>
      </c>
      <c r="N83" s="127">
        <f t="shared" si="25"/>
        <v>0</v>
      </c>
      <c r="O83" s="128">
        <f t="shared" si="25"/>
        <v>7506100.3906366173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3379193.655509362</v>
      </c>
      <c r="G88" s="72"/>
      <c r="H88" s="73"/>
      <c r="I88" s="136">
        <f>I81-I85</f>
        <v>3754552.4606149672</v>
      </c>
      <c r="J88" s="72"/>
      <c r="K88" s="73"/>
      <c r="L88" s="136">
        <f>L81-L85</f>
        <v>4353194.435617161</v>
      </c>
      <c r="M88" s="72"/>
      <c r="N88" s="73"/>
      <c r="O88" s="136">
        <f>O81-O85</f>
        <v>4821048.0559327109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2817253.3403925132</v>
      </c>
      <c r="G89" s="34"/>
      <c r="H89" s="76"/>
      <c r="I89" s="138">
        <f>I82-I86</f>
        <v>2850860.0369544681</v>
      </c>
      <c r="J89" s="34"/>
      <c r="K89" s="76"/>
      <c r="L89" s="138">
        <f>L82-L86</f>
        <v>2688175.2867258033</v>
      </c>
      <c r="M89" s="34"/>
      <c r="N89" s="76"/>
      <c r="O89" s="138">
        <f>O82-O86</f>
        <v>2685052.3347039064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6196446.9959018752</v>
      </c>
      <c r="G90" s="81"/>
      <c r="H90" s="82"/>
      <c r="I90" s="139">
        <f>+I88+I89</f>
        <v>6605412.4975694353</v>
      </c>
      <c r="J90" s="81"/>
      <c r="K90" s="82"/>
      <c r="L90" s="139">
        <f>+L88+L89</f>
        <v>7041369.7223429643</v>
      </c>
      <c r="M90" s="81"/>
      <c r="N90" s="82"/>
      <c r="O90" s="139">
        <f>+O88+O89</f>
        <v>7506100.3906366173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-3020.2188679569517</v>
      </c>
      <c r="E92" s="143">
        <v>0</v>
      </c>
      <c r="F92" s="144">
        <f>D92+E92</f>
        <v>-3020.2188679569517</v>
      </c>
      <c r="G92" s="142">
        <v>-143176.09987838799</v>
      </c>
      <c r="H92" s="143">
        <v>0</v>
      </c>
      <c r="I92" s="144">
        <f>G92+H92</f>
        <v>-143176.09987838799</v>
      </c>
      <c r="J92" s="142">
        <v>-143176.09987838799</v>
      </c>
      <c r="K92" s="143">
        <v>0</v>
      </c>
      <c r="L92" s="144">
        <f>J92+K92</f>
        <v>-143176.09987838799</v>
      </c>
      <c r="M92" s="142">
        <v>-143176.09987838799</v>
      </c>
      <c r="N92" s="143">
        <v>0</v>
      </c>
      <c r="O92" s="144">
        <f>M92+N92</f>
        <v>-143176.09987838799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6760522.5199622288</v>
      </c>
      <c r="E96" s="166">
        <f>E6+E7+E8+E9+E11+E25+E30+E40+E42+E21+E45</f>
        <v>0</v>
      </c>
      <c r="F96" s="166">
        <f t="shared" ref="F96" si="26">F6+F7+F8+F9+F11+F25+F30+F40+F42</f>
        <v>6760522.5199622288</v>
      </c>
      <c r="G96" s="166">
        <f t="shared" ref="G96" si="27">G6+G7+G8+G9+G11+G25+G30+G40+G42+G21+G45</f>
        <v>6935772.0978569603</v>
      </c>
      <c r="H96" s="166">
        <f t="shared" ref="H96" si="28">H6+H7+H8+H9+H11+H25+H30+H40+H42</f>
        <v>0</v>
      </c>
      <c r="I96" s="166">
        <f t="shared" ref="I96" si="29">I6+I7+I8+I9+I11+I25+I30+I40+I42+I21+I45</f>
        <v>6935772.0978569603</v>
      </c>
      <c r="J96" s="166">
        <f t="shared" ref="J96" si="30">J6+J7+J8+J9+J11+J25+J30+J40+J42</f>
        <v>6773087.3476282964</v>
      </c>
      <c r="K96" s="166">
        <f t="shared" ref="K96" si="31">K6+K7+K8+K9+K11+K25+K30+K40+K42+K21+K45</f>
        <v>0</v>
      </c>
      <c r="L96" s="166">
        <f t="shared" ref="L96" si="32">L6+L7+L8+L9+L11+L25+L30+L40+L42</f>
        <v>6773087.3476282964</v>
      </c>
      <c r="M96" s="166">
        <f t="shared" ref="M96" si="33">M6+M7+M8+M9+M11+M25+M30+M40+M42+M21+M45</f>
        <v>6769964.3956063986</v>
      </c>
      <c r="N96" s="166">
        <f t="shared" ref="N96" si="34">N6+N7+N8+N9+N11+N25+N30+N40+N42</f>
        <v>0</v>
      </c>
      <c r="O96" s="166">
        <f t="shared" ref="O96" si="35">O6+O7+O8+O9+O11+O25+O30+O40+O42+O21+O45</f>
        <v>6769964.3956063986</v>
      </c>
    </row>
    <row r="97" spans="4:15" s="14" customFormat="1">
      <c r="D97" s="166">
        <f>D96-D15-D19</f>
        <v>6489847.1099874778</v>
      </c>
      <c r="E97" s="166">
        <f>E96-E15-E19</f>
        <v>0</v>
      </c>
      <c r="F97" s="166">
        <f t="shared" ref="F97:O97" si="36">F96-F15-F19</f>
        <v>6489847.1099874778</v>
      </c>
      <c r="G97" s="166">
        <f t="shared" si="36"/>
        <v>6665367.092887179</v>
      </c>
      <c r="H97" s="166">
        <f t="shared" si="36"/>
        <v>0</v>
      </c>
      <c r="I97" s="166">
        <f t="shared" si="36"/>
        <v>6665367.092887179</v>
      </c>
      <c r="J97" s="166">
        <f t="shared" si="36"/>
        <v>6502682.3426585151</v>
      </c>
      <c r="K97" s="166">
        <f t="shared" si="36"/>
        <v>0</v>
      </c>
      <c r="L97" s="166">
        <f t="shared" si="36"/>
        <v>6502682.3426585151</v>
      </c>
      <c r="M97" s="166">
        <f t="shared" si="36"/>
        <v>6499559.3906366173</v>
      </c>
      <c r="N97" s="166">
        <f t="shared" si="36"/>
        <v>0</v>
      </c>
      <c r="O97" s="166">
        <f t="shared" si="36"/>
        <v>6499559.3906366173</v>
      </c>
    </row>
    <row r="98" spans="4:15" s="14" customFormat="1">
      <c r="D98" s="166">
        <f>D20+D44</f>
        <v>464731.15628051874</v>
      </c>
      <c r="E98" s="166">
        <f>E20+E44</f>
        <v>0</v>
      </c>
      <c r="F98" s="166">
        <f t="shared" ref="F98:O98" si="37">F20+F44</f>
        <v>464731.15628051874</v>
      </c>
      <c r="G98" s="166">
        <f t="shared" si="37"/>
        <v>640997.49366484128</v>
      </c>
      <c r="H98" s="166">
        <f t="shared" si="37"/>
        <v>0</v>
      </c>
      <c r="I98" s="166">
        <f t="shared" si="37"/>
        <v>640997.49366484128</v>
      </c>
      <c r="J98" s="166">
        <f t="shared" si="37"/>
        <v>156437.76112500002</v>
      </c>
      <c r="K98" s="166">
        <f t="shared" si="37"/>
        <v>0</v>
      </c>
      <c r="L98" s="166">
        <f t="shared" si="37"/>
        <v>156437.76112500002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68" priority="7" operator="containsText" text="ERRORE">
      <formula>NOT(ISERROR(SEARCH("ERRORE",F81)))</formula>
    </cfRule>
  </conditionalFormatting>
  <conditionalFormatting sqref="I83">
    <cfRule type="containsText" dxfId="67" priority="6" operator="containsText" text="ERRORE">
      <formula>NOT(ISERROR(SEARCH("ERRORE",I83)))</formula>
    </cfRule>
  </conditionalFormatting>
  <conditionalFormatting sqref="I81:I82">
    <cfRule type="containsText" dxfId="66" priority="5" operator="containsText" text="ERRORE">
      <formula>NOT(ISERROR(SEARCH("ERRORE",I81)))</formula>
    </cfRule>
  </conditionalFormatting>
  <conditionalFormatting sqref="L83">
    <cfRule type="containsText" dxfId="65" priority="4" operator="containsText" text="ERRORE">
      <formula>NOT(ISERROR(SEARCH("ERRORE",L83)))</formula>
    </cfRule>
  </conditionalFormatting>
  <conditionalFormatting sqref="L81:L82">
    <cfRule type="containsText" dxfId="64" priority="3" operator="containsText" text="ERRORE">
      <formula>NOT(ISERROR(SEARCH("ERRORE",L81)))</formula>
    </cfRule>
  </conditionalFormatting>
  <conditionalFormatting sqref="O83">
    <cfRule type="containsText" dxfId="63" priority="2" operator="containsText" text="ERRORE">
      <formula>NOT(ISERROR(SEARCH("ERRORE",O83)))</formula>
    </cfRule>
  </conditionalFormatting>
  <conditionalFormatting sqref="O81:O82">
    <cfRule type="containsText" dxfId="62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F68" zoomScale="70" zoomScaleNormal="70" zoomScalePageLayoutView="70" workbookViewId="0">
      <selection activeCell="F90" sqref="F90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109</v>
      </c>
      <c r="B1" s="2" t="str">
        <f>"       PEF 2022 - 2025"&amp;" - "&amp;A1</f>
        <v xml:space="preserve">       PEF 2022 - 2025 - Santa Maria di Sala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141</v>
      </c>
      <c r="E4" s="188"/>
      <c r="F4" s="189"/>
      <c r="G4" s="187" t="str">
        <f>D4</f>
        <v>Ambito tariffario: Santa Maria di Sala</v>
      </c>
      <c r="H4" s="188"/>
      <c r="I4" s="189"/>
      <c r="J4" s="187" t="str">
        <f>D4</f>
        <v>Ambito tariffario: Santa Maria di Sala</v>
      </c>
      <c r="K4" s="188"/>
      <c r="L4" s="189"/>
      <c r="M4" s="187" t="str">
        <f>D4</f>
        <v>Ambito tariffario: Santa Maria di Sala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185707.14235251246</v>
      </c>
      <c r="E6" s="22">
        <v>0</v>
      </c>
      <c r="F6" s="23">
        <f>D6+E6</f>
        <v>185707.14235251246</v>
      </c>
      <c r="G6" s="22">
        <v>192105.45921749438</v>
      </c>
      <c r="H6" s="22">
        <v>0</v>
      </c>
      <c r="I6" s="23">
        <f>G6+H6</f>
        <v>192105.45921749438</v>
      </c>
      <c r="J6" s="22">
        <v>192105.45921749438</v>
      </c>
      <c r="K6" s="22">
        <v>0</v>
      </c>
      <c r="L6" s="23">
        <f>J6+K6</f>
        <v>192105.45921749438</v>
      </c>
      <c r="M6" s="22">
        <v>192105.45921749438</v>
      </c>
      <c r="N6" s="22">
        <v>0</v>
      </c>
      <c r="O6" s="23">
        <f>M6+N6</f>
        <v>192105.45921749438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238602.48330162058</v>
      </c>
      <c r="E7" s="22">
        <v>0</v>
      </c>
      <c r="F7" s="23">
        <f t="shared" ref="F7:F20" si="0">D7+E7</f>
        <v>238602.48330162058</v>
      </c>
      <c r="G7" s="22">
        <v>249764.66355635857</v>
      </c>
      <c r="H7" s="22">
        <v>0</v>
      </c>
      <c r="I7" s="23">
        <f t="shared" ref="I7:I13" si="1">G7+H7</f>
        <v>249764.66355635857</v>
      </c>
      <c r="J7" s="22">
        <v>249764.66355635857</v>
      </c>
      <c r="K7" s="22">
        <v>0</v>
      </c>
      <c r="L7" s="23">
        <f t="shared" ref="L7:L12" si="2">J7+K7</f>
        <v>249764.66355635857</v>
      </c>
      <c r="M7" s="22">
        <v>249764.66355635857</v>
      </c>
      <c r="N7" s="22">
        <v>0</v>
      </c>
      <c r="O7" s="23">
        <f t="shared" ref="O7:O13" si="3">M7+N7</f>
        <v>249764.66355635857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432592.35792052298</v>
      </c>
      <c r="E8" s="22">
        <v>0</v>
      </c>
      <c r="F8" s="23">
        <f t="shared" si="0"/>
        <v>432592.35792052298</v>
      </c>
      <c r="G8" s="22">
        <v>452840.28311436123</v>
      </c>
      <c r="H8" s="22">
        <v>0</v>
      </c>
      <c r="I8" s="23">
        <f t="shared" si="1"/>
        <v>452840.28311436123</v>
      </c>
      <c r="J8" s="22">
        <v>452840.28311436123</v>
      </c>
      <c r="K8" s="22">
        <v>0</v>
      </c>
      <c r="L8" s="23">
        <f t="shared" si="2"/>
        <v>452840.28311436123</v>
      </c>
      <c r="M8" s="22">
        <v>452840.28311436123</v>
      </c>
      <c r="N8" s="22">
        <v>0</v>
      </c>
      <c r="O8" s="23">
        <f t="shared" si="3"/>
        <v>452840.28311436123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421091.23957787931</v>
      </c>
      <c r="E9" s="22">
        <v>0</v>
      </c>
      <c r="F9" s="23">
        <f t="shared" si="0"/>
        <v>421091.23957787931</v>
      </c>
      <c r="G9" s="22">
        <v>432984.45603288733</v>
      </c>
      <c r="H9" s="22">
        <v>0</v>
      </c>
      <c r="I9" s="23">
        <f t="shared" si="1"/>
        <v>432984.45603288733</v>
      </c>
      <c r="J9" s="22">
        <v>432984.45603288733</v>
      </c>
      <c r="K9" s="22">
        <v>0</v>
      </c>
      <c r="L9" s="23">
        <f t="shared" si="2"/>
        <v>432984.45603288733</v>
      </c>
      <c r="M9" s="22">
        <v>432984.45603288733</v>
      </c>
      <c r="N9" s="22">
        <v>0</v>
      </c>
      <c r="O9" s="23">
        <f t="shared" si="3"/>
        <v>432984.45603288733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5908.0219412005608</v>
      </c>
      <c r="E11" s="22">
        <v>0</v>
      </c>
      <c r="F11" s="23">
        <f t="shared" si="0"/>
        <v>5908.0219412005608</v>
      </c>
      <c r="G11" s="22">
        <v>5908.0219412005608</v>
      </c>
      <c r="H11" s="22">
        <v>0</v>
      </c>
      <c r="I11" s="23">
        <f t="shared" si="1"/>
        <v>5908.0219412005608</v>
      </c>
      <c r="J11" s="22">
        <v>5908.0219412005608</v>
      </c>
      <c r="K11" s="22">
        <v>0</v>
      </c>
      <c r="L11" s="23">
        <f t="shared" si="2"/>
        <v>5908.0219412005608</v>
      </c>
      <c r="M11" s="22">
        <v>5908.0219412005608</v>
      </c>
      <c r="N11" s="22">
        <v>0</v>
      </c>
      <c r="O11" s="23">
        <f t="shared" si="3"/>
        <v>5908.0219412005608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162762.66943273682</v>
      </c>
      <c r="E13" s="22">
        <v>0</v>
      </c>
      <c r="F13" s="23">
        <f t="shared" si="0"/>
        <v>162762.66943273682</v>
      </c>
      <c r="G13" s="22">
        <v>162600.06936337345</v>
      </c>
      <c r="H13" s="22">
        <v>0</v>
      </c>
      <c r="I13" s="23">
        <f t="shared" si="1"/>
        <v>162600.06936337345</v>
      </c>
      <c r="J13" s="22">
        <v>162600.06936337345</v>
      </c>
      <c r="K13" s="22">
        <v>0</v>
      </c>
      <c r="L13" s="23">
        <f>J13+K13</f>
        <v>162600.06936337345</v>
      </c>
      <c r="M13" s="22">
        <v>162600.06936337345</v>
      </c>
      <c r="N13" s="22">
        <v>0</v>
      </c>
      <c r="O13" s="23">
        <f t="shared" si="3"/>
        <v>162600.06936337345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97657.601659642081</v>
      </c>
      <c r="E15" s="22">
        <v>0</v>
      </c>
      <c r="F15" s="23">
        <f t="shared" si="0"/>
        <v>97657.601659642081</v>
      </c>
      <c r="G15" s="22">
        <v>97560.041618024072</v>
      </c>
      <c r="H15" s="22">
        <v>0</v>
      </c>
      <c r="I15" s="23">
        <f t="shared" ref="I15:I16" si="4">G15+H15</f>
        <v>97560.041618024072</v>
      </c>
      <c r="J15" s="22">
        <v>97560.041618024072</v>
      </c>
      <c r="K15" s="22">
        <v>0</v>
      </c>
      <c r="L15" s="23">
        <f t="shared" ref="L15:L16" si="5">J15+K15</f>
        <v>97560.041618024072</v>
      </c>
      <c r="M15" s="22">
        <v>97560.041618024072</v>
      </c>
      <c r="N15" s="22">
        <v>0</v>
      </c>
      <c r="O15" s="23">
        <f t="shared" ref="O15:O16" si="6">M15+N15</f>
        <v>97560.041618024072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3309.4451156469399</v>
      </c>
      <c r="E16" s="22">
        <v>0</v>
      </c>
      <c r="F16" s="23">
        <f t="shared" si="0"/>
        <v>3309.4451156469399</v>
      </c>
      <c r="G16" s="22">
        <v>3306.13897667027</v>
      </c>
      <c r="H16" s="22">
        <v>0</v>
      </c>
      <c r="I16" s="23">
        <f t="shared" si="4"/>
        <v>3306.13897667027</v>
      </c>
      <c r="J16" s="22">
        <v>3306.13897667027</v>
      </c>
      <c r="K16" s="22">
        <v>0</v>
      </c>
      <c r="L16" s="23">
        <f t="shared" si="5"/>
        <v>3306.13897667027</v>
      </c>
      <c r="M16" s="22">
        <v>3306.13897667027</v>
      </c>
      <c r="N16" s="22">
        <v>0</v>
      </c>
      <c r="O16" s="23">
        <f t="shared" si="6"/>
        <v>3306.13897667027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0.2</v>
      </c>
      <c r="E17" s="29">
        <v>0.2</v>
      </c>
      <c r="F17" s="30">
        <f>D17</f>
        <v>0.2</v>
      </c>
      <c r="G17" s="29">
        <v>0.2</v>
      </c>
      <c r="H17" s="29">
        <v>0.2</v>
      </c>
      <c r="I17" s="30">
        <f>G17</f>
        <v>0.2</v>
      </c>
      <c r="J17" s="29">
        <v>0.2</v>
      </c>
      <c r="K17" s="29">
        <v>0.2</v>
      </c>
      <c r="L17" s="30">
        <v>0.2</v>
      </c>
      <c r="M17" s="29">
        <v>0.2</v>
      </c>
      <c r="N17" s="29">
        <v>0.2</v>
      </c>
      <c r="O17" s="30">
        <f>N17</f>
        <v>0.2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0.72</v>
      </c>
      <c r="E18" s="29">
        <v>0.72</v>
      </c>
      <c r="F18" s="31">
        <f>IF(D18=E18,D18,"n.d.")</f>
        <v>0.72</v>
      </c>
      <c r="G18" s="29">
        <v>0.72</v>
      </c>
      <c r="H18" s="29">
        <v>0.72</v>
      </c>
      <c r="I18" s="31">
        <f>IF(G18=H18,G18,"n.d.")</f>
        <v>0.72</v>
      </c>
      <c r="J18" s="29">
        <v>0.72</v>
      </c>
      <c r="K18" s="29">
        <v>0.72</v>
      </c>
      <c r="L18" s="31">
        <f>IF(J18=K18,J18,"n.d.")</f>
        <v>0.72</v>
      </c>
      <c r="M18" s="29">
        <v>0.72</v>
      </c>
      <c r="N18" s="29">
        <v>0.72</v>
      </c>
      <c r="O18" s="31">
        <f>IF(M18=N18,M18,"n.d.")</f>
        <v>0.72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2382.8004832657966</v>
      </c>
      <c r="E19" s="22">
        <v>0</v>
      </c>
      <c r="F19" s="23">
        <f t="shared" si="0"/>
        <v>2382.8004832657966</v>
      </c>
      <c r="G19" s="22">
        <v>2380.4200632025945</v>
      </c>
      <c r="H19" s="22">
        <v>0</v>
      </c>
      <c r="I19" s="23">
        <f t="shared" ref="I19:I20" si="7">G19+H19</f>
        <v>2380.4200632025945</v>
      </c>
      <c r="J19" s="22">
        <v>2380.4200632025945</v>
      </c>
      <c r="K19" s="22">
        <v>0</v>
      </c>
      <c r="L19" s="23">
        <f t="shared" ref="L19:L20" si="8">J19+K19</f>
        <v>2380.4200632025945</v>
      </c>
      <c r="M19" s="32">
        <v>2380.4200632025945</v>
      </c>
      <c r="N19" s="33">
        <v>0</v>
      </c>
      <c r="O19" s="23">
        <f t="shared" ref="O19:O20" si="9">M19+N19</f>
        <v>2380.4200632025945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22">
        <v>0</v>
      </c>
      <c r="F20" s="23">
        <f t="shared" si="0"/>
        <v>0</v>
      </c>
      <c r="G20" s="22">
        <v>-56253.654517365343</v>
      </c>
      <c r="H20" s="22">
        <v>0</v>
      </c>
      <c r="I20" s="23">
        <f t="shared" si="7"/>
        <v>-56253.654517365343</v>
      </c>
      <c r="J20" s="22">
        <v>2009.9493749999965</v>
      </c>
      <c r="K20" s="22">
        <v>0</v>
      </c>
      <c r="L20" s="23">
        <f t="shared" si="8"/>
        <v>2009.9493749999965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/>
      <c r="F21" s="23">
        <f>E21</f>
        <v>0</v>
      </c>
      <c r="G21" s="34"/>
      <c r="H21" s="22"/>
      <c r="I21" s="23">
        <f>H21</f>
        <v>0</v>
      </c>
      <c r="J21" s="34"/>
      <c r="K21" s="22"/>
      <c r="L21" s="23">
        <f>K21</f>
        <v>0</v>
      </c>
      <c r="M21" s="34"/>
      <c r="N21" s="22"/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>
        <v>38216</v>
      </c>
      <c r="N22" s="22">
        <v>0</v>
      </c>
      <c r="O22" s="36">
        <f t="shared" ref="O22" si="12">M22+N22</f>
        <v>38216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1183860.8429508281</v>
      </c>
      <c r="E23" s="38">
        <f>E6+E7+E8+E9+E10+E11+E12-E15-E19+E20+E21</f>
        <v>0</v>
      </c>
      <c r="F23" s="38">
        <f>D23+E23</f>
        <v>1183860.8429508281</v>
      </c>
      <c r="G23" s="38">
        <f>G6+G7+G8+G9+G10+G11+G12-G15-G19+G20+G22</f>
        <v>1177408.7676637103</v>
      </c>
      <c r="H23" s="38">
        <f>H6+H7+H8+H9+H10+H11+H12-H15-H19+H20+H21+H22</f>
        <v>0</v>
      </c>
      <c r="I23" s="38">
        <f>G23+H23</f>
        <v>1177408.7676637103</v>
      </c>
      <c r="J23" s="38">
        <f>J6+J7+J8+J9+J10+J11+J12-J15-J19+J20+J22</f>
        <v>1235672.3715560758</v>
      </c>
      <c r="K23" s="38">
        <f>K6+K7+K8+K9+K10+K11+K12-K15-K19+K20+K21+K22</f>
        <v>0</v>
      </c>
      <c r="L23" s="38">
        <f>J23+K23</f>
        <v>1235672.3715560758</v>
      </c>
      <c r="M23" s="38">
        <f>M6+M7+M8+M9+M10+M11+M12-M15-M19+M20+M22</f>
        <v>1271878.4221810757</v>
      </c>
      <c r="N23" s="38">
        <f>N6+N7+N8+N9+N10+N11+N12-N15-N19+N20+N21+N22</f>
        <v>0</v>
      </c>
      <c r="O23" s="38">
        <f>M23+N23</f>
        <v>1271878.4221810757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220255.87764535495</v>
      </c>
      <c r="E25" s="44">
        <v>0</v>
      </c>
      <c r="F25" s="45">
        <f t="shared" ref="F25:F44" si="13">D25+E25</f>
        <v>220255.87764535495</v>
      </c>
      <c r="G25" s="44">
        <v>230223.99845395872</v>
      </c>
      <c r="H25" s="44">
        <v>0</v>
      </c>
      <c r="I25" s="45">
        <f t="shared" ref="I25:I33" si="14">G25+H25</f>
        <v>230223.99845395872</v>
      </c>
      <c r="J25" s="44">
        <v>230223.99845395872</v>
      </c>
      <c r="K25" s="44">
        <v>0</v>
      </c>
      <c r="L25" s="45">
        <f t="shared" ref="L25:L44" si="15">J25+K25</f>
        <v>230223.99845395872</v>
      </c>
      <c r="M25" s="44">
        <v>230223.99845395872</v>
      </c>
      <c r="N25" s="44">
        <v>0</v>
      </c>
      <c r="O25" s="45">
        <f t="shared" ref="O25:O43" si="16">M25+N25</f>
        <v>230223.99845395872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224627.15698029415</v>
      </c>
      <c r="E26" s="22">
        <v>0</v>
      </c>
      <c r="F26" s="36">
        <f t="shared" si="13"/>
        <v>224627.15698029415</v>
      </c>
      <c r="G26" s="22">
        <v>231207.43156001403</v>
      </c>
      <c r="H26" s="22">
        <v>0</v>
      </c>
      <c r="I26" s="36">
        <f t="shared" si="14"/>
        <v>231207.43156001403</v>
      </c>
      <c r="J26" s="22">
        <v>231207.43156001403</v>
      </c>
      <c r="K26" s="22">
        <v>0</v>
      </c>
      <c r="L26" s="36">
        <f t="shared" si="15"/>
        <v>231207.43156001403</v>
      </c>
      <c r="M26" s="22">
        <v>231207.43156001403</v>
      </c>
      <c r="N26" s="22">
        <v>0</v>
      </c>
      <c r="O26" s="36">
        <f t="shared" si="16"/>
        <v>231207.43156001403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155919.90856105395</v>
      </c>
      <c r="E27" s="47">
        <v>0</v>
      </c>
      <c r="F27" s="48">
        <f t="shared" si="13"/>
        <v>155919.90856105395</v>
      </c>
      <c r="G27" s="47">
        <v>161923.82076931832</v>
      </c>
      <c r="H27" s="47">
        <v>0</v>
      </c>
      <c r="I27" s="48">
        <f t="shared" si="14"/>
        <v>161923.82076931832</v>
      </c>
      <c r="J27" s="47">
        <v>161923.82076931832</v>
      </c>
      <c r="K27" s="47">
        <v>0</v>
      </c>
      <c r="L27" s="48">
        <f t="shared" si="15"/>
        <v>161923.82076931832</v>
      </c>
      <c r="M27" s="47">
        <v>161923.82076931832</v>
      </c>
      <c r="N27" s="47">
        <v>0</v>
      </c>
      <c r="O27" s="48">
        <f t="shared" si="16"/>
        <v>161923.82076931832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26902.377737517309</v>
      </c>
      <c r="E29" s="47">
        <v>0</v>
      </c>
      <c r="F29" s="48">
        <f t="shared" si="13"/>
        <v>26902.377737517309</v>
      </c>
      <c r="G29" s="47">
        <v>27095.648678460762</v>
      </c>
      <c r="H29" s="47">
        <v>0</v>
      </c>
      <c r="I29" s="48">
        <f t="shared" si="14"/>
        <v>27095.648678460762</v>
      </c>
      <c r="J29" s="47">
        <v>27095.648678460762</v>
      </c>
      <c r="K29" s="47">
        <v>0</v>
      </c>
      <c r="L29" s="48">
        <f t="shared" si="15"/>
        <v>27095.648678460762</v>
      </c>
      <c r="M29" s="47">
        <v>27095.648678460762</v>
      </c>
      <c r="N29" s="47">
        <v>0</v>
      </c>
      <c r="O29" s="48">
        <f t="shared" si="16"/>
        <v>27095.648678460762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407449.44327886536</v>
      </c>
      <c r="E30" s="51">
        <f>+E26+E27+E28+E29</f>
        <v>0</v>
      </c>
      <c r="F30" s="52">
        <f t="shared" si="13"/>
        <v>407449.44327886536</v>
      </c>
      <c r="G30" s="51">
        <f>+G26+G27+G28+G29</f>
        <v>420226.90100779309</v>
      </c>
      <c r="H30" s="51">
        <f>+H26+H27+H28+H29</f>
        <v>0</v>
      </c>
      <c r="I30" s="52">
        <f t="shared" si="14"/>
        <v>420226.90100779309</v>
      </c>
      <c r="J30" s="51">
        <f>+J26+J27+J28+J29</f>
        <v>420226.90100779309</v>
      </c>
      <c r="K30" s="51">
        <f>+K26+K27+K28+K29</f>
        <v>0</v>
      </c>
      <c r="L30" s="52">
        <f t="shared" si="15"/>
        <v>420226.90100779309</v>
      </c>
      <c r="M30" s="51">
        <f>+M26+M27+M28+M29</f>
        <v>420226.90100779309</v>
      </c>
      <c r="N30" s="51">
        <f>+N26+N27+N28+N29</f>
        <v>0</v>
      </c>
      <c r="O30" s="52">
        <f t="shared" si="16"/>
        <v>420226.90100779309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106408.13903928846</v>
      </c>
      <c r="E31" s="53">
        <v>0</v>
      </c>
      <c r="F31" s="48">
        <f t="shared" si="13"/>
        <v>106408.13903928846</v>
      </c>
      <c r="G31" s="147">
        <f>VLOOKUP($A$1,REM_ToolEnrico!$B$5:$J$38,4,FALSE)</f>
        <v>90475.226175644697</v>
      </c>
      <c r="H31" s="53">
        <v>0</v>
      </c>
      <c r="I31" s="48">
        <f t="shared" si="14"/>
        <v>90475.226175644697</v>
      </c>
      <c r="J31" s="147">
        <f>VLOOKUP($A$1,REM_ToolEnrico!$B$5:$J$38,6,FALSE)</f>
        <v>96473.724881534363</v>
      </c>
      <c r="K31" s="53">
        <v>0</v>
      </c>
      <c r="L31" s="48">
        <f t="shared" si="15"/>
        <v>96473.724881534363</v>
      </c>
      <c r="M31" s="147">
        <f>VLOOKUP($A$1,REM_ToolEnrico!$B$5:$J$38,8,FALSE)</f>
        <v>97034.225139311719</v>
      </c>
      <c r="N31" s="53">
        <v>0</v>
      </c>
      <c r="O31" s="48">
        <f t="shared" si="16"/>
        <v>97034.225139311719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133712.95108416129</v>
      </c>
      <c r="E32" s="54">
        <f>+E33+E34+E35+E36</f>
        <v>0</v>
      </c>
      <c r="F32" s="48">
        <f t="shared" si="13"/>
        <v>133712.95108416129</v>
      </c>
      <c r="G32" s="54">
        <f>+G33+G34+G35+G36</f>
        <v>133579.37171244883</v>
      </c>
      <c r="H32" s="54">
        <f>+H33+H34+H35+H36</f>
        <v>0</v>
      </c>
      <c r="I32" s="48">
        <f t="shared" si="14"/>
        <v>133579.37171244883</v>
      </c>
      <c r="J32" s="54">
        <f>+J33+J34+J35+J36</f>
        <v>133579.37171244883</v>
      </c>
      <c r="K32" s="54">
        <f>+K33+K34+K35+K36</f>
        <v>0</v>
      </c>
      <c r="L32" s="48">
        <f t="shared" si="15"/>
        <v>133579.37171244883</v>
      </c>
      <c r="M32" s="54">
        <f>+M33+M34+M35+M36</f>
        <v>133579.37171244883</v>
      </c>
      <c r="N32" s="54">
        <f>+N33+N34+N35+N36</f>
        <v>0</v>
      </c>
      <c r="O32" s="48">
        <f t="shared" si="16"/>
        <v>133579.37171244883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133712.95108416129</v>
      </c>
      <c r="E34" s="47">
        <v>0</v>
      </c>
      <c r="F34" s="48">
        <f>D34+E34</f>
        <v>133712.95108416129</v>
      </c>
      <c r="G34" s="47">
        <v>133579.37171244883</v>
      </c>
      <c r="H34" s="47">
        <v>0</v>
      </c>
      <c r="I34" s="48">
        <f>G34+H34</f>
        <v>133579.37171244883</v>
      </c>
      <c r="J34" s="47">
        <v>133579.37171244883</v>
      </c>
      <c r="K34" s="158">
        <v>0</v>
      </c>
      <c r="L34" s="48">
        <f t="shared" si="15"/>
        <v>133579.37171244883</v>
      </c>
      <c r="M34" s="47">
        <v>133579.37171244883</v>
      </c>
      <c r="N34" s="158">
        <v>0</v>
      </c>
      <c r="O34" s="48">
        <f t="shared" si="16"/>
        <v>133579.37171244883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57748.277385817855</v>
      </c>
      <c r="E37" s="47">
        <v>0</v>
      </c>
      <c r="F37" s="48">
        <f t="shared" si="13"/>
        <v>57748.277385817855</v>
      </c>
      <c r="G37" s="147">
        <f>VLOOKUP($A$1,REM_ToolEnrico!$B$5:$J$38,5,FALSE)</f>
        <v>57722.700349034341</v>
      </c>
      <c r="H37" s="47">
        <v>0</v>
      </c>
      <c r="I37" s="48">
        <f t="shared" si="17"/>
        <v>57722.700349034341</v>
      </c>
      <c r="J37" s="147">
        <f>VLOOKUP($A$1,REM_ToolEnrico!$B$5:$J$38,7,FALSE)</f>
        <v>59321.515578239589</v>
      </c>
      <c r="K37" s="47">
        <v>0</v>
      </c>
      <c r="L37" s="48">
        <f t="shared" si="15"/>
        <v>59321.515578239589</v>
      </c>
      <c r="M37" s="147">
        <f>VLOOKUP($A$1,REM_ToolEnrico!$B$5:$J$38,9,FALSE)</f>
        <v>59416.878132440885</v>
      </c>
      <c r="N37" s="47">
        <v>0</v>
      </c>
      <c r="O37" s="48">
        <f t="shared" si="16"/>
        <v>59416.878132440885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661.99474579165997</v>
      </c>
      <c r="E38" s="47">
        <v>0</v>
      </c>
      <c r="F38" s="48">
        <f t="shared" si="13"/>
        <v>661.99474579165997</v>
      </c>
      <c r="G38" s="47">
        <v>663.31873528324343</v>
      </c>
      <c r="H38" s="47">
        <v>0</v>
      </c>
      <c r="I38" s="48">
        <f t="shared" si="17"/>
        <v>663.31873528324343</v>
      </c>
      <c r="J38" s="47">
        <v>663.31873528324343</v>
      </c>
      <c r="K38" s="47">
        <v>0</v>
      </c>
      <c r="L38" s="48">
        <f t="shared" si="15"/>
        <v>663.31873528324343</v>
      </c>
      <c r="M38" s="47">
        <v>663.31873528324343</v>
      </c>
      <c r="N38" s="47">
        <v>0</v>
      </c>
      <c r="O38" s="48">
        <f t="shared" si="16"/>
        <v>663.31873528324343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298531.36225505924</v>
      </c>
      <c r="E40" s="51">
        <f>E38+E37+E32+E31+E39</f>
        <v>0</v>
      </c>
      <c r="F40" s="52">
        <f t="shared" si="13"/>
        <v>298531.36225505924</v>
      </c>
      <c r="G40" s="51">
        <f>G38+G37+G32+G31+G39</f>
        <v>282440.61697241111</v>
      </c>
      <c r="H40" s="51">
        <f>H38+H37+H32+H31+H39</f>
        <v>0</v>
      </c>
      <c r="I40" s="52">
        <f t="shared" si="17"/>
        <v>282440.61697241111</v>
      </c>
      <c r="J40" s="51">
        <f>J38+J37+J32+J31+J39</f>
        <v>290037.93090750603</v>
      </c>
      <c r="K40" s="51">
        <f>K38+K37+K32+K31+K39</f>
        <v>0</v>
      </c>
      <c r="L40" s="52">
        <f t="shared" si="15"/>
        <v>290037.93090750603</v>
      </c>
      <c r="M40" s="51">
        <f>M38+M37+M32+M31+M39</f>
        <v>290693.7937194847</v>
      </c>
      <c r="N40" s="51">
        <f>N38+N37+N32+N31+N39</f>
        <v>0</v>
      </c>
      <c r="O40" s="52">
        <f t="shared" si="16"/>
        <v>290693.7937194847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9799.4390598046648</v>
      </c>
      <c r="E42" s="22">
        <v>0</v>
      </c>
      <c r="F42" s="36">
        <f t="shared" si="13"/>
        <v>9799.4390598046648</v>
      </c>
      <c r="G42" s="22">
        <v>18464.537906898819</v>
      </c>
      <c r="H42" s="22">
        <v>0</v>
      </c>
      <c r="I42" s="36">
        <f t="shared" si="17"/>
        <v>18464.537906898819</v>
      </c>
      <c r="J42" s="22">
        <v>18464.537906898819</v>
      </c>
      <c r="K42" s="22">
        <v>0</v>
      </c>
      <c r="L42" s="36">
        <f t="shared" si="15"/>
        <v>18464.537906898819</v>
      </c>
      <c r="M42" s="22">
        <v>18464.537906898819</v>
      </c>
      <c r="N42" s="22">
        <v>0</v>
      </c>
      <c r="O42" s="36">
        <f t="shared" si="16"/>
        <v>18464.537906898819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-177633.36870385008</v>
      </c>
      <c r="E44" s="57">
        <v>0</v>
      </c>
      <c r="F44" s="36">
        <f t="shared" si="13"/>
        <v>-177633.36870385008</v>
      </c>
      <c r="G44" s="57">
        <v>-161376.38096931088</v>
      </c>
      <c r="H44" s="57">
        <v>0</v>
      </c>
      <c r="I44" s="36">
        <f t="shared" si="17"/>
        <v>-161376.38096931088</v>
      </c>
      <c r="J44" s="57">
        <v>0</v>
      </c>
      <c r="K44" s="57">
        <v>0</v>
      </c>
      <c r="L44" s="36">
        <f t="shared" si="15"/>
        <v>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758402.75353523414</v>
      </c>
      <c r="E47" s="59">
        <f>E25+E30+E40+E41+E42+E43+E44+E45</f>
        <v>0</v>
      </c>
      <c r="F47" s="60">
        <f>D47+E47</f>
        <v>758402.75353523414</v>
      </c>
      <c r="G47" s="59">
        <f>G25+G30+G40+G41+G42+G43+G44+G46</f>
        <v>789979.67337175074</v>
      </c>
      <c r="H47" s="59">
        <f>H25+H30+H40+H41+H42+H43+H44+H45+H46</f>
        <v>0</v>
      </c>
      <c r="I47" s="60">
        <f>G47+H47</f>
        <v>789979.67337175074</v>
      </c>
      <c r="J47" s="59">
        <f>J25+J30+J40+J41+J42+J43+J44+J46</f>
        <v>958953.3682761566</v>
      </c>
      <c r="K47" s="59">
        <f>K25+K30+K40+K41+K42+K43+K44+K45+K46</f>
        <v>0</v>
      </c>
      <c r="L47" s="60">
        <f>J47+K47</f>
        <v>958953.3682761566</v>
      </c>
      <c r="M47" s="59">
        <f>M25+M30+M40+M41+M42+M43+M44+M46</f>
        <v>959609.23108813528</v>
      </c>
      <c r="N47" s="59">
        <f>N25+N30+N40+N41+N42+N43+N44+N45+N46</f>
        <v>0</v>
      </c>
      <c r="O47" s="60">
        <f>M47+N47</f>
        <v>959609.23108813528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1944211.3628805836</v>
      </c>
      <c r="E49" s="65">
        <v>0</v>
      </c>
      <c r="F49" s="65">
        <f>D49+E49</f>
        <v>1944211.3628805836</v>
      </c>
      <c r="G49" s="65">
        <f>G50</f>
        <v>1967388.4410354611</v>
      </c>
      <c r="H49" s="65">
        <v>0</v>
      </c>
      <c r="I49" s="65">
        <f t="shared" ref="I49" si="21">G49+H49</f>
        <v>1967388.4410354611</v>
      </c>
      <c r="J49" s="65">
        <f>J50</f>
        <v>2194625.7398322322</v>
      </c>
      <c r="K49" s="65">
        <v>0</v>
      </c>
      <c r="L49" s="65">
        <f t="shared" ref="L49" si="22">J49+K49</f>
        <v>2194625.7398322322</v>
      </c>
      <c r="M49" s="65">
        <f>M50</f>
        <v>2231487.6532692108</v>
      </c>
      <c r="N49" s="65">
        <v>0</v>
      </c>
      <c r="O49" s="65">
        <f t="shared" ref="O49" si="23">M49+N49</f>
        <v>2231487.6532692108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1942263.5964860623</v>
      </c>
      <c r="E50" s="59">
        <f t="shared" si="24"/>
        <v>0</v>
      </c>
      <c r="F50" s="59">
        <f t="shared" si="24"/>
        <v>1942263.5964860623</v>
      </c>
      <c r="G50" s="59">
        <f>+G23+G47</f>
        <v>1967388.4410354611</v>
      </c>
      <c r="H50" s="59">
        <f t="shared" si="24"/>
        <v>0</v>
      </c>
      <c r="I50" s="59">
        <f t="shared" si="24"/>
        <v>1967388.4410354611</v>
      </c>
      <c r="J50" s="59">
        <f t="shared" si="24"/>
        <v>2194625.7398322322</v>
      </c>
      <c r="K50" s="59">
        <f>+K23+K47</f>
        <v>0</v>
      </c>
      <c r="L50" s="59">
        <f t="shared" si="24"/>
        <v>2194625.7398322322</v>
      </c>
      <c r="M50" s="59">
        <f>+M23+M47</f>
        <v>2231487.6532692108</v>
      </c>
      <c r="N50" s="59">
        <f t="shared" si="24"/>
        <v>0</v>
      </c>
      <c r="O50" s="59">
        <f t="shared" si="24"/>
        <v>2231487.6532692108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-177633.36870385008</v>
      </c>
      <c r="E51" s="68"/>
      <c r="F51" s="146"/>
      <c r="G51" s="68">
        <f>G44+G20</f>
        <v>-217630.03548667621</v>
      </c>
      <c r="H51" s="68"/>
      <c r="I51" s="146"/>
      <c r="J51" s="68">
        <f>J44+J20</f>
        <v>2009.9493749999965</v>
      </c>
      <c r="K51" s="68"/>
      <c r="L51" s="146"/>
      <c r="M51" s="68">
        <f>M44+M20</f>
        <v>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0.85499999999999998</v>
      </c>
      <c r="G53" s="72"/>
      <c r="H53" s="73"/>
      <c r="I53" s="74">
        <v>0.85499999999999998</v>
      </c>
      <c r="J53" s="72"/>
      <c r="K53" s="73"/>
      <c r="L53" s="74">
        <v>0.85499999999999998</v>
      </c>
      <c r="M53" s="72"/>
      <c r="N53" s="73"/>
      <c r="O53" s="74">
        <v>0.85499999999999998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8890.1730000000007</v>
      </c>
      <c r="G54" s="34"/>
      <c r="H54" s="76"/>
      <c r="I54" s="77">
        <v>8890.1730000000007</v>
      </c>
      <c r="J54" s="34"/>
      <c r="K54" s="76"/>
      <c r="L54" s="77">
        <v>8890.1730000000007</v>
      </c>
      <c r="M54" s="34"/>
      <c r="N54" s="76"/>
      <c r="O54" s="77">
        <v>8890.1730000000007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26.751295305726202</v>
      </c>
      <c r="G55" s="34"/>
      <c r="H55" s="76"/>
      <c r="I55" s="78">
        <v>23.336671731522404</v>
      </c>
      <c r="J55" s="34"/>
      <c r="K55" s="76"/>
      <c r="L55" s="78">
        <v>21.805641837694708</v>
      </c>
      <c r="M55" s="34"/>
      <c r="N55" s="76"/>
      <c r="O55" s="78">
        <v>22.049560199507507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24.63278815446068</v>
      </c>
      <c r="G56" s="81"/>
      <c r="H56" s="82"/>
      <c r="I56" s="78">
        <v>24.63278815446068</v>
      </c>
      <c r="J56" s="81"/>
      <c r="K56" s="82"/>
      <c r="L56" s="78">
        <v>24.63278815446068</v>
      </c>
      <c r="M56" s="81"/>
      <c r="N56" s="82"/>
      <c r="O56" s="78">
        <v>24.63278815446068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-0.27722422838452926</v>
      </c>
      <c r="G60" s="90"/>
      <c r="H60" s="76"/>
      <c r="I60" s="89">
        <v>-0.27722422838452926</v>
      </c>
      <c r="J60" s="34"/>
      <c r="K60" s="91"/>
      <c r="L60" s="89">
        <v>-0.27722422838452926</v>
      </c>
      <c r="M60" s="34"/>
      <c r="N60" s="76"/>
      <c r="O60" s="89">
        <v>-0.27722422838452926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-0.27722422838452926</v>
      </c>
      <c r="G61" s="90"/>
      <c r="H61" s="76"/>
      <c r="I61" s="92">
        <v>-0.27722422838452926</v>
      </c>
      <c r="J61" s="34"/>
      <c r="K61" s="76"/>
      <c r="L61" s="93">
        <v>-0.27722422838452926</v>
      </c>
      <c r="M61" s="34"/>
      <c r="N61" s="76"/>
      <c r="O61" s="92">
        <v>-0.27722422838452926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0.7227757716154708</v>
      </c>
      <c r="G62" s="95"/>
      <c r="H62" s="82"/>
      <c r="I62" s="94">
        <v>0.7227757716154708</v>
      </c>
      <c r="J62" s="81"/>
      <c r="K62" s="82"/>
      <c r="L62" s="94">
        <v>0.7227757716154708</v>
      </c>
      <c r="M62" s="81"/>
      <c r="N62" s="82"/>
      <c r="O62" s="94">
        <v>0.7227757716154708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1.00000001E-3</v>
      </c>
      <c r="J66" s="34"/>
      <c r="K66" s="76"/>
      <c r="L66" s="104">
        <v>1.00000001E-3</v>
      </c>
      <c r="M66" s="34"/>
      <c r="N66" s="76"/>
      <c r="O66" s="104">
        <v>1.00000001E-3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6.5999999990000002E-2</v>
      </c>
      <c r="J70" s="34"/>
      <c r="K70" s="76"/>
      <c r="L70" s="105">
        <v>6.5999999990000002E-2</v>
      </c>
      <c r="M70" s="34"/>
      <c r="N70" s="76"/>
      <c r="O70" s="105">
        <v>6.5999999990000002E-2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1.0659999999900001</v>
      </c>
      <c r="J71" s="34"/>
      <c r="K71" s="76"/>
      <c r="L71" s="106">
        <v>1.0659999999900001</v>
      </c>
      <c r="M71" s="34"/>
      <c r="N71" s="76"/>
      <c r="O71" s="106">
        <v>1.0659999999900001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1942263.5964860623</v>
      </c>
      <c r="G72" s="34"/>
      <c r="H72" s="76"/>
      <c r="I72" s="108">
        <f>I50</f>
        <v>1967388.4410354611</v>
      </c>
      <c r="J72" s="34"/>
      <c r="K72" s="76"/>
      <c r="L72" s="108">
        <f>L50</f>
        <v>2194625.7398322322</v>
      </c>
      <c r="M72" s="34"/>
      <c r="N72" s="76"/>
      <c r="O72" s="108">
        <f>O50</f>
        <v>2231487.6532692108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1491346.4844323159</v>
      </c>
      <c r="G73" s="34"/>
      <c r="H73" s="76"/>
      <c r="I73" s="110">
        <f>F81</f>
        <v>1183860.8429508281</v>
      </c>
      <c r="J73" s="34"/>
      <c r="K73" s="76"/>
      <c r="L73" s="110">
        <f>I81</f>
        <v>1177408.7676637103</v>
      </c>
      <c r="M73" s="34"/>
      <c r="N73" s="76"/>
      <c r="O73" s="110">
        <f>L81</f>
        <v>1138282.7098479713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583324.00494212145</v>
      </c>
      <c r="G74" s="34"/>
      <c r="H74" s="76"/>
      <c r="I74" s="110">
        <f>F82</f>
        <v>758402.75353523414</v>
      </c>
      <c r="J74" s="34"/>
      <c r="K74" s="76"/>
      <c r="L74" s="110">
        <f>I82</f>
        <v>789979.67337175086</v>
      </c>
      <c r="M74" s="34"/>
      <c r="N74" s="76"/>
      <c r="O74" s="110">
        <f>L82</f>
        <v>958953.36827615649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2074670.4893744374</v>
      </c>
      <c r="G75" s="34"/>
      <c r="H75" s="76"/>
      <c r="I75" s="111">
        <f>SUM(I73:I74)</f>
        <v>1942263.5964860623</v>
      </c>
      <c r="J75" s="34"/>
      <c r="K75" s="76"/>
      <c r="L75" s="111">
        <f>SUM(L73:L74)</f>
        <v>1967388.4410354611</v>
      </c>
      <c r="M75" s="34"/>
      <c r="N75" s="76"/>
      <c r="O75" s="111">
        <f>SUM(O73:O74)</f>
        <v>2097236.0781241278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0.93617931446631852</v>
      </c>
      <c r="G76" s="81"/>
      <c r="H76" s="82"/>
      <c r="I76" s="112">
        <f>I72/I75</f>
        <v>1.0129358572105531</v>
      </c>
      <c r="J76" s="81"/>
      <c r="K76" s="82"/>
      <c r="L76" s="112">
        <f>L72/L75</f>
        <v>1.1155019995325242</v>
      </c>
      <c r="M76" s="81"/>
      <c r="N76" s="82"/>
      <c r="O76" s="112">
        <f>O72/O75</f>
        <v>1.0640135731715832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1942263.5964860623</v>
      </c>
      <c r="G78" s="73"/>
      <c r="H78" s="73"/>
      <c r="I78" s="115">
        <f>IF(I72&lt;=I75*I71,I72,I75*I71)</f>
        <v>1967388.4410354611</v>
      </c>
      <c r="J78" s="73"/>
      <c r="K78" s="73"/>
      <c r="L78" s="115">
        <f>IF(L72&lt;=L75*L71,L72,L75*L71)</f>
        <v>2097236.0781241278</v>
      </c>
      <c r="M78" s="73"/>
      <c r="N78" s="73"/>
      <c r="O78" s="115">
        <f>IF(O72&lt;=O75*O71,O72,O75*O71)</f>
        <v>2231487.6532692108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97389.661708104424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1183860.8429508281</v>
      </c>
      <c r="E81" s="120">
        <f>E23</f>
        <v>0</v>
      </c>
      <c r="F81" s="115">
        <f>D81+E81</f>
        <v>1183860.8429508281</v>
      </c>
      <c r="G81" s="119">
        <f>G23-I79</f>
        <v>1177408.7676637103</v>
      </c>
      <c r="H81" s="120">
        <f>H23</f>
        <v>0</v>
      </c>
      <c r="I81" s="115">
        <f>G81+H81</f>
        <v>1177408.7676637103</v>
      </c>
      <c r="J81" s="119">
        <f>J23-L79</f>
        <v>1138282.7098479713</v>
      </c>
      <c r="K81" s="120">
        <f>K23</f>
        <v>0</v>
      </c>
      <c r="L81" s="115">
        <f>J81+K81</f>
        <v>1138282.7098479713</v>
      </c>
      <c r="M81" s="119">
        <f>M23-O79</f>
        <v>1271878.4221810757</v>
      </c>
      <c r="N81" s="120">
        <f>N23</f>
        <v>0</v>
      </c>
      <c r="O81" s="115">
        <f>M81+N81</f>
        <v>1271878.4221810757</v>
      </c>
    </row>
    <row r="82" spans="1:52" s="14" customFormat="1" ht="20" customHeight="1" thickBot="1">
      <c r="B82" s="118" t="s">
        <v>72</v>
      </c>
      <c r="D82" s="121">
        <f>D50-D81-F79</f>
        <v>758402.75353523414</v>
      </c>
      <c r="E82" s="122">
        <f>E50-E81</f>
        <v>0</v>
      </c>
      <c r="F82" s="123">
        <f>D82+E82</f>
        <v>758402.75353523414</v>
      </c>
      <c r="G82" s="121">
        <f>G49-G81-I79</f>
        <v>789979.67337175086</v>
      </c>
      <c r="H82" s="122">
        <f>H50-H81</f>
        <v>0</v>
      </c>
      <c r="I82" s="123">
        <f>G82+H82</f>
        <v>789979.67337175086</v>
      </c>
      <c r="J82" s="121">
        <f>J50-J81-L79</f>
        <v>958953.36827615649</v>
      </c>
      <c r="K82" s="122">
        <f>K50-K81</f>
        <v>0</v>
      </c>
      <c r="L82" s="123">
        <f>J82+K82</f>
        <v>958953.36827615649</v>
      </c>
      <c r="M82" s="121">
        <f>M49-M81-O79</f>
        <v>959609.23108813516</v>
      </c>
      <c r="N82" s="122">
        <f>N50-N81</f>
        <v>0</v>
      </c>
      <c r="O82" s="123">
        <f>M82+N82</f>
        <v>959609.23108813516</v>
      </c>
    </row>
    <row r="83" spans="1:52" s="124" customFormat="1" ht="17.25" customHeight="1" thickBot="1">
      <c r="B83" s="125" t="s">
        <v>73</v>
      </c>
      <c r="C83" s="14"/>
      <c r="D83" s="126">
        <f>SUM(D81:D82)</f>
        <v>1942263.5964860623</v>
      </c>
      <c r="E83" s="127">
        <f t="shared" ref="E83:O83" si="25">SUM(E81:E82)</f>
        <v>0</v>
      </c>
      <c r="F83" s="128">
        <f t="shared" si="25"/>
        <v>1942263.5964860623</v>
      </c>
      <c r="G83" s="126">
        <f t="shared" si="25"/>
        <v>1967388.4410354611</v>
      </c>
      <c r="H83" s="127">
        <f t="shared" si="25"/>
        <v>0</v>
      </c>
      <c r="I83" s="128">
        <f t="shared" si="25"/>
        <v>1967388.4410354611</v>
      </c>
      <c r="J83" s="126">
        <f t="shared" si="25"/>
        <v>2097236.0781241278</v>
      </c>
      <c r="K83" s="127">
        <f t="shared" si="25"/>
        <v>0</v>
      </c>
      <c r="L83" s="128">
        <f t="shared" si="25"/>
        <v>2097236.0781241278</v>
      </c>
      <c r="M83" s="126">
        <f t="shared" si="25"/>
        <v>2231487.6532692108</v>
      </c>
      <c r="N83" s="127">
        <f t="shared" si="25"/>
        <v>0</v>
      </c>
      <c r="O83" s="128">
        <f t="shared" si="25"/>
        <v>2231487.6532692108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1183860.8429508281</v>
      </c>
      <c r="G88" s="72"/>
      <c r="H88" s="73"/>
      <c r="I88" s="136">
        <f>I81-I85</f>
        <v>1177408.7676637103</v>
      </c>
      <c r="J88" s="72"/>
      <c r="K88" s="73"/>
      <c r="L88" s="136">
        <f>L81-L85</f>
        <v>1138282.7098479713</v>
      </c>
      <c r="M88" s="72"/>
      <c r="N88" s="73"/>
      <c r="O88" s="136">
        <f>O81-O85</f>
        <v>1271878.4221810757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758402.75353523414</v>
      </c>
      <c r="G89" s="34"/>
      <c r="H89" s="76"/>
      <c r="I89" s="138">
        <f>I82-I86</f>
        <v>789979.67337175086</v>
      </c>
      <c r="J89" s="34"/>
      <c r="K89" s="76"/>
      <c r="L89" s="138">
        <f>L82-L86</f>
        <v>958953.36827615649</v>
      </c>
      <c r="M89" s="34"/>
      <c r="N89" s="76"/>
      <c r="O89" s="138">
        <f>O82-O86</f>
        <v>959609.23108813516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1942263.5964860623</v>
      </c>
      <c r="G90" s="81"/>
      <c r="H90" s="82"/>
      <c r="I90" s="139">
        <f>+I88+I89</f>
        <v>1967388.4410354611</v>
      </c>
      <c r="J90" s="81"/>
      <c r="K90" s="82"/>
      <c r="L90" s="139">
        <f>+L88+L89</f>
        <v>2097236.0781241278</v>
      </c>
      <c r="M90" s="81"/>
      <c r="N90" s="82"/>
      <c r="O90" s="139">
        <f>+O88+O89</f>
        <v>2231487.6532692108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-654.18784885197238</v>
      </c>
      <c r="E92" s="143">
        <v>0</v>
      </c>
      <c r="F92" s="144">
        <f>D92+E92</f>
        <v>-654.18784885197238</v>
      </c>
      <c r="G92" s="142">
        <v>-31012.343436493702</v>
      </c>
      <c r="H92" s="143">
        <v>0</v>
      </c>
      <c r="I92" s="144">
        <f>G92+H92</f>
        <v>-31012.343436493702</v>
      </c>
      <c r="J92" s="142">
        <v>-31012.343436493702</v>
      </c>
      <c r="K92" s="143">
        <v>0</v>
      </c>
      <c r="L92" s="144">
        <f>J92+K92</f>
        <v>-31012.343436493702</v>
      </c>
      <c r="M92" s="142">
        <v>-31012.343436493702</v>
      </c>
      <c r="N92" s="143">
        <v>0</v>
      </c>
      <c r="O92" s="144">
        <f>M92+N92</f>
        <v>-31012.343436493702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2219937.3673328203</v>
      </c>
      <c r="E96" s="166">
        <f>E6+E7+E8+E9+E11+E25+E30+E40+E42+E21+E45</f>
        <v>0</v>
      </c>
      <c r="F96" s="166">
        <f t="shared" ref="F96" si="26">F6+F7+F8+F9+F11+F25+F30+F40+F42</f>
        <v>2219937.3673328203</v>
      </c>
      <c r="G96" s="166">
        <f t="shared" ref="G96" si="27">G6+G7+G8+G9+G11+G25+G30+G40+G42+G21+G45</f>
        <v>2284958.9382033637</v>
      </c>
      <c r="H96" s="166">
        <f t="shared" ref="H96" si="28">H6+H7+H8+H9+H11+H25+H30+H40+H42</f>
        <v>0</v>
      </c>
      <c r="I96" s="166">
        <f t="shared" ref="I96" si="29">I6+I7+I8+I9+I11+I25+I30+I40+I42+I21+I45</f>
        <v>2284958.9382033637</v>
      </c>
      <c r="J96" s="166">
        <f t="shared" ref="J96" si="30">J6+J7+J8+J9+J11+J25+J30+J40+J42</f>
        <v>2292556.2521384587</v>
      </c>
      <c r="K96" s="166">
        <f t="shared" ref="K96" si="31">K6+K7+K8+K9+K11+K25+K30+K40+K42+K21+K45</f>
        <v>0</v>
      </c>
      <c r="L96" s="166">
        <f t="shared" ref="L96" si="32">L6+L7+L8+L9+L11+L25+L30+L40+L42</f>
        <v>2292556.2521384587</v>
      </c>
      <c r="M96" s="166">
        <f t="shared" ref="M96" si="33">M6+M7+M8+M9+M11+M25+M30+M40+M42+M21+M45</f>
        <v>2293212.1149504376</v>
      </c>
      <c r="N96" s="166">
        <f t="shared" ref="N96" si="34">N6+N7+N8+N9+N11+N25+N30+N40+N42</f>
        <v>0</v>
      </c>
      <c r="O96" s="166">
        <f t="shared" ref="O96" si="35">O6+O7+O8+O9+O11+O25+O30+O40+O42+O21+O45</f>
        <v>2293212.1149504376</v>
      </c>
    </row>
    <row r="97" spans="4:15" s="14" customFormat="1">
      <c r="D97" s="166">
        <f>D96-D15-D19</f>
        <v>2119896.9651899124</v>
      </c>
      <c r="E97" s="166">
        <f>E96-E15-E19</f>
        <v>0</v>
      </c>
      <c r="F97" s="166">
        <f t="shared" ref="F97:O97" si="36">F96-F15-F19</f>
        <v>2119896.9651899124</v>
      </c>
      <c r="G97" s="166">
        <f t="shared" si="36"/>
        <v>2185018.4765221369</v>
      </c>
      <c r="H97" s="166">
        <f t="shared" si="36"/>
        <v>0</v>
      </c>
      <c r="I97" s="166">
        <f t="shared" si="36"/>
        <v>2185018.4765221369</v>
      </c>
      <c r="J97" s="166">
        <f t="shared" si="36"/>
        <v>2192615.7904572319</v>
      </c>
      <c r="K97" s="166">
        <f t="shared" si="36"/>
        <v>0</v>
      </c>
      <c r="L97" s="166">
        <f t="shared" si="36"/>
        <v>2192615.7904572319</v>
      </c>
      <c r="M97" s="166">
        <f t="shared" si="36"/>
        <v>2193271.6532692108</v>
      </c>
      <c r="N97" s="166">
        <f t="shared" si="36"/>
        <v>0</v>
      </c>
      <c r="O97" s="166">
        <f t="shared" si="36"/>
        <v>2193271.6532692108</v>
      </c>
    </row>
    <row r="98" spans="4:15" s="14" customFormat="1">
      <c r="D98" s="166">
        <f>D20+D44</f>
        <v>-177633.36870385008</v>
      </c>
      <c r="E98" s="166">
        <f>E20+E44</f>
        <v>0</v>
      </c>
      <c r="F98" s="166">
        <f t="shared" ref="F98:O98" si="37">F20+F44</f>
        <v>-177633.36870385008</v>
      </c>
      <c r="G98" s="166">
        <f t="shared" si="37"/>
        <v>-217630.03548667621</v>
      </c>
      <c r="H98" s="166">
        <f t="shared" si="37"/>
        <v>0</v>
      </c>
      <c r="I98" s="166">
        <f t="shared" si="37"/>
        <v>-217630.03548667621</v>
      </c>
      <c r="J98" s="166">
        <f t="shared" si="37"/>
        <v>2009.9493749999965</v>
      </c>
      <c r="K98" s="166">
        <f t="shared" si="37"/>
        <v>0</v>
      </c>
      <c r="L98" s="166">
        <f t="shared" si="37"/>
        <v>2009.9493749999965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61" priority="7" operator="containsText" text="ERRORE">
      <formula>NOT(ISERROR(SEARCH("ERRORE",F81)))</formula>
    </cfRule>
  </conditionalFormatting>
  <conditionalFormatting sqref="I83">
    <cfRule type="containsText" dxfId="60" priority="6" operator="containsText" text="ERRORE">
      <formula>NOT(ISERROR(SEARCH("ERRORE",I83)))</formula>
    </cfRule>
  </conditionalFormatting>
  <conditionalFormatting sqref="I81:I82">
    <cfRule type="containsText" dxfId="59" priority="5" operator="containsText" text="ERRORE">
      <formula>NOT(ISERROR(SEARCH("ERRORE",I81)))</formula>
    </cfRule>
  </conditionalFormatting>
  <conditionalFormatting sqref="L83">
    <cfRule type="containsText" dxfId="58" priority="4" operator="containsText" text="ERRORE">
      <formula>NOT(ISERROR(SEARCH("ERRORE",L83)))</formula>
    </cfRule>
  </conditionalFormatting>
  <conditionalFormatting sqref="L81:L82">
    <cfRule type="containsText" dxfId="57" priority="3" operator="containsText" text="ERRORE">
      <formula>NOT(ISERROR(SEARCH("ERRORE",L81)))</formula>
    </cfRule>
  </conditionalFormatting>
  <conditionalFormatting sqref="O83">
    <cfRule type="containsText" dxfId="56" priority="2" operator="containsText" text="ERRORE">
      <formula>NOT(ISERROR(SEARCH("ERRORE",O83)))</formula>
    </cfRule>
  </conditionalFormatting>
  <conditionalFormatting sqref="O81:O82">
    <cfRule type="containsText" dxfId="55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F81" zoomScale="70" zoomScaleNormal="70" zoomScalePageLayoutView="70" workbookViewId="0">
      <selection activeCell="I83" sqref="I83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110</v>
      </c>
      <c r="B1" s="2" t="str">
        <f>"       PEF 2022 - 2025"&amp;" - "&amp;A1</f>
        <v xml:space="preserve">       PEF 2022 - 2025 - Scorzè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135</v>
      </c>
      <c r="E4" s="188"/>
      <c r="F4" s="189"/>
      <c r="G4" s="187" t="str">
        <f>D4</f>
        <v>Ambito tariffario: Scorzè</v>
      </c>
      <c r="H4" s="188"/>
      <c r="I4" s="189"/>
      <c r="J4" s="187" t="str">
        <f>D4</f>
        <v>Ambito tariffario: Scorzè</v>
      </c>
      <c r="K4" s="188"/>
      <c r="L4" s="189"/>
      <c r="M4" s="187" t="str">
        <f>D4</f>
        <v>Ambito tariffario: Scorzè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216408.30074388551</v>
      </c>
      <c r="E6" s="22">
        <v>0</v>
      </c>
      <c r="F6" s="23">
        <f>D6+E6</f>
        <v>216408.30074388551</v>
      </c>
      <c r="G6" s="22">
        <v>223864.38920031826</v>
      </c>
      <c r="H6" s="22">
        <v>0</v>
      </c>
      <c r="I6" s="23">
        <f>G6+H6</f>
        <v>223864.38920031826</v>
      </c>
      <c r="J6" s="22">
        <v>223864.38920031826</v>
      </c>
      <c r="K6" s="22">
        <v>0</v>
      </c>
      <c r="L6" s="23">
        <f>J6+K6</f>
        <v>223864.38920031826</v>
      </c>
      <c r="M6" s="22">
        <v>223864.38920031826</v>
      </c>
      <c r="N6" s="22">
        <v>0</v>
      </c>
      <c r="O6" s="23">
        <f>M6+N6</f>
        <v>223864.38920031826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348102.85112399427</v>
      </c>
      <c r="E7" s="22">
        <v>0</v>
      </c>
      <c r="F7" s="23">
        <f t="shared" ref="F7:F20" si="0">D7+E7</f>
        <v>348102.85112399427</v>
      </c>
      <c r="G7" s="22">
        <v>364387.62200176594</v>
      </c>
      <c r="H7" s="22">
        <v>0</v>
      </c>
      <c r="I7" s="23">
        <f t="shared" ref="I7:I13" si="1">G7+H7</f>
        <v>364387.62200176594</v>
      </c>
      <c r="J7" s="22">
        <v>364387.62200176594</v>
      </c>
      <c r="K7" s="22">
        <v>0</v>
      </c>
      <c r="L7" s="23">
        <f t="shared" ref="L7:L12" si="2">J7+K7</f>
        <v>364387.62200176594</v>
      </c>
      <c r="M7" s="22">
        <v>364387.62200176594</v>
      </c>
      <c r="N7" s="22">
        <v>0</v>
      </c>
      <c r="O7" s="23">
        <f t="shared" ref="O7:O13" si="3">M7+N7</f>
        <v>364387.62200176594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441408.10260960058</v>
      </c>
      <c r="E8" s="22">
        <v>0</v>
      </c>
      <c r="F8" s="23">
        <f t="shared" si="0"/>
        <v>441408.10260960058</v>
      </c>
      <c r="G8" s="22">
        <v>462068.65769789752</v>
      </c>
      <c r="H8" s="22">
        <v>0</v>
      </c>
      <c r="I8" s="23">
        <f t="shared" si="1"/>
        <v>462068.65769789752</v>
      </c>
      <c r="J8" s="22">
        <v>462068.65769789752</v>
      </c>
      <c r="K8" s="22">
        <v>0</v>
      </c>
      <c r="L8" s="23">
        <f t="shared" si="2"/>
        <v>462068.65769789752</v>
      </c>
      <c r="M8" s="22">
        <v>462068.65769789752</v>
      </c>
      <c r="N8" s="22">
        <v>0</v>
      </c>
      <c r="O8" s="23">
        <f t="shared" si="3"/>
        <v>462068.65769789752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490706.16488301381</v>
      </c>
      <c r="E9" s="22">
        <v>0</v>
      </c>
      <c r="F9" s="23">
        <f t="shared" si="0"/>
        <v>490706.16488301381</v>
      </c>
      <c r="G9" s="22">
        <v>504565.57131619158</v>
      </c>
      <c r="H9" s="22">
        <v>0</v>
      </c>
      <c r="I9" s="23">
        <f t="shared" si="1"/>
        <v>504565.57131619158</v>
      </c>
      <c r="J9" s="22">
        <v>504565.57131619158</v>
      </c>
      <c r="K9" s="22">
        <v>0</v>
      </c>
      <c r="L9" s="23">
        <f t="shared" si="2"/>
        <v>504565.57131619158</v>
      </c>
      <c r="M9" s="22">
        <v>504565.57131619158</v>
      </c>
      <c r="N9" s="22">
        <v>0</v>
      </c>
      <c r="O9" s="23">
        <f t="shared" si="3"/>
        <v>504565.57131619158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7403.4487893868136</v>
      </c>
      <c r="E11" s="22">
        <v>0</v>
      </c>
      <c r="F11" s="23">
        <f t="shared" si="0"/>
        <v>7403.4487893868136</v>
      </c>
      <c r="G11" s="22">
        <v>7403.4487893868136</v>
      </c>
      <c r="H11" s="22">
        <v>0</v>
      </c>
      <c r="I11" s="23">
        <f t="shared" si="1"/>
        <v>7403.4487893868136</v>
      </c>
      <c r="J11" s="22">
        <v>7403.4487893868136</v>
      </c>
      <c r="K11" s="22">
        <v>0</v>
      </c>
      <c r="L11" s="23">
        <f t="shared" si="2"/>
        <v>7403.4487893868136</v>
      </c>
      <c r="M11" s="22">
        <v>7403.4487893868136</v>
      </c>
      <c r="N11" s="22">
        <v>0</v>
      </c>
      <c r="O11" s="23">
        <f t="shared" si="3"/>
        <v>7403.4487893868136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156114.832639723</v>
      </c>
      <c r="E13" s="22">
        <v>0</v>
      </c>
      <c r="F13" s="23">
        <f t="shared" si="0"/>
        <v>156114.832639723</v>
      </c>
      <c r="G13" s="22">
        <v>155958.87376595708</v>
      </c>
      <c r="H13" s="22">
        <v>0</v>
      </c>
      <c r="I13" s="23">
        <f t="shared" si="1"/>
        <v>155958.87376595708</v>
      </c>
      <c r="J13" s="22">
        <v>155958.87376595708</v>
      </c>
      <c r="K13" s="22">
        <v>0</v>
      </c>
      <c r="L13" s="23">
        <f>J13+K13</f>
        <v>155958.87376595708</v>
      </c>
      <c r="M13" s="22">
        <v>155958.87376595708</v>
      </c>
      <c r="N13" s="22">
        <v>0</v>
      </c>
      <c r="O13" s="23">
        <f t="shared" si="3"/>
        <v>155958.87376595708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93668.899583833801</v>
      </c>
      <c r="E15" s="22">
        <v>0</v>
      </c>
      <c r="F15" s="23">
        <f t="shared" si="0"/>
        <v>93668.899583833801</v>
      </c>
      <c r="G15" s="22">
        <v>93575.324259574249</v>
      </c>
      <c r="H15" s="22">
        <v>0</v>
      </c>
      <c r="I15" s="23">
        <f t="shared" ref="I15:I16" si="4">G15+H15</f>
        <v>93575.324259574249</v>
      </c>
      <c r="J15" s="22">
        <v>93575.324259574249</v>
      </c>
      <c r="K15" s="22">
        <v>0</v>
      </c>
      <c r="L15" s="23">
        <f t="shared" ref="L15:L16" si="5">J15+K15</f>
        <v>93575.324259574249</v>
      </c>
      <c r="M15" s="22">
        <v>93575.324259574249</v>
      </c>
      <c r="N15" s="22">
        <v>0</v>
      </c>
      <c r="O15" s="23">
        <f t="shared" ref="O15:O16" si="6">M15+N15</f>
        <v>93575.324259574249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4588.9446369975922</v>
      </c>
      <c r="E16" s="22">
        <v>0</v>
      </c>
      <c r="F16" s="23">
        <f t="shared" si="0"/>
        <v>4588.9446369975922</v>
      </c>
      <c r="G16" s="22">
        <v>4584.3602767208722</v>
      </c>
      <c r="H16" s="22">
        <v>0</v>
      </c>
      <c r="I16" s="23">
        <f t="shared" si="4"/>
        <v>4584.3602767208722</v>
      </c>
      <c r="J16" s="22">
        <v>4584.3602767208722</v>
      </c>
      <c r="K16" s="22">
        <v>0</v>
      </c>
      <c r="L16" s="23">
        <f t="shared" si="5"/>
        <v>4584.3602767208722</v>
      </c>
      <c r="M16" s="22">
        <v>4584.3602767208722</v>
      </c>
      <c r="N16" s="22">
        <v>0</v>
      </c>
      <c r="O16" s="23">
        <f t="shared" si="6"/>
        <v>4584.3602767208722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0.2</v>
      </c>
      <c r="E17" s="29">
        <v>0.2</v>
      </c>
      <c r="F17" s="30">
        <f>D17</f>
        <v>0.2</v>
      </c>
      <c r="G17" s="29">
        <v>0.2</v>
      </c>
      <c r="H17" s="29">
        <v>0.2</v>
      </c>
      <c r="I17" s="30">
        <f>G17</f>
        <v>0.2</v>
      </c>
      <c r="J17" s="29">
        <v>0.2</v>
      </c>
      <c r="K17" s="29">
        <v>0.2</v>
      </c>
      <c r="L17" s="30">
        <v>0.2</v>
      </c>
      <c r="M17" s="29">
        <v>0.2</v>
      </c>
      <c r="N17" s="29">
        <v>0.2</v>
      </c>
      <c r="O17" s="30">
        <f>N17</f>
        <v>0.2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0.72</v>
      </c>
      <c r="E18" s="29">
        <v>0.72</v>
      </c>
      <c r="F18" s="31">
        <f>IF(D18=E18,D18,"n.d.")</f>
        <v>0.72</v>
      </c>
      <c r="G18" s="29">
        <v>0.72</v>
      </c>
      <c r="H18" s="29">
        <v>0.72</v>
      </c>
      <c r="I18" s="31">
        <f>IF(G18=H18,G18,"n.d.")</f>
        <v>0.72</v>
      </c>
      <c r="J18" s="29">
        <v>0.72</v>
      </c>
      <c r="K18" s="29">
        <v>0.72</v>
      </c>
      <c r="L18" s="31">
        <f>IF(J18=K18,J18,"n.d.")</f>
        <v>0.72</v>
      </c>
      <c r="M18" s="29">
        <v>0.72</v>
      </c>
      <c r="N18" s="29">
        <v>0.72</v>
      </c>
      <c r="O18" s="31">
        <f>IF(M18=N18,M18,"n.d.")</f>
        <v>0.72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3304.0401386382664</v>
      </c>
      <c r="E19" s="22">
        <v>0</v>
      </c>
      <c r="F19" s="23">
        <f t="shared" si="0"/>
        <v>3304.0401386382664</v>
      </c>
      <c r="G19" s="22">
        <v>3300.739399239028</v>
      </c>
      <c r="H19" s="22">
        <v>0</v>
      </c>
      <c r="I19" s="23">
        <f t="shared" ref="I19:I20" si="7">G19+H19</f>
        <v>3300.739399239028</v>
      </c>
      <c r="J19" s="22">
        <v>3300.739399239028</v>
      </c>
      <c r="K19" s="22">
        <v>0</v>
      </c>
      <c r="L19" s="23">
        <f t="shared" ref="L19:L20" si="8">J19+K19</f>
        <v>3300.739399239028</v>
      </c>
      <c r="M19" s="32">
        <v>3300.739399239028</v>
      </c>
      <c r="N19" s="33">
        <v>0</v>
      </c>
      <c r="O19" s="23">
        <f t="shared" ref="O19:O20" si="9">M19+N19</f>
        <v>3300.739399239028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51578.516537474236</v>
      </c>
      <c r="E20" s="22">
        <v>0</v>
      </c>
      <c r="F20" s="23">
        <f t="shared" si="0"/>
        <v>51578.516537474236</v>
      </c>
      <c r="G20" s="22">
        <v>63983.165892486897</v>
      </c>
      <c r="H20" s="22">
        <v>0</v>
      </c>
      <c r="I20" s="23">
        <f t="shared" si="7"/>
        <v>63983.165892486897</v>
      </c>
      <c r="J20" s="22">
        <v>41415.964250000019</v>
      </c>
      <c r="K20" s="22">
        <v>0</v>
      </c>
      <c r="L20" s="23">
        <f t="shared" si="8"/>
        <v>41415.964250000019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145863.44449648832</v>
      </c>
      <c r="F21" s="23">
        <f>E21</f>
        <v>145863.44449648832</v>
      </c>
      <c r="G21" s="34"/>
      <c r="H21" s="22">
        <f>G23*0.1</f>
        <v>152939.67912392339</v>
      </c>
      <c r="I21" s="23">
        <f>H21</f>
        <v>152939.67912392339</v>
      </c>
      <c r="J21" s="34"/>
      <c r="K21" s="22">
        <f>J23*0.1</f>
        <v>150682.95895967467</v>
      </c>
      <c r="L21" s="23">
        <f>K21</f>
        <v>150682.95895967467</v>
      </c>
      <c r="M21" s="34"/>
      <c r="N21" s="22">
        <f>M23*0.1</f>
        <v>146541.36253467467</v>
      </c>
      <c r="O21" s="23">
        <f>N21</f>
        <v>146541.36253467467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1458634.4449648832</v>
      </c>
      <c r="E23" s="38">
        <f>E6+E7+E8+E9+E10+E11+E12-E15-E19+E20+E21</f>
        <v>145863.44449648832</v>
      </c>
      <c r="F23" s="38">
        <f>D23+E23</f>
        <v>1604497.8894613716</v>
      </c>
      <c r="G23" s="38">
        <f>G6+G7+G8+G9+G10+G11+G12-G15-G19+G20+G22</f>
        <v>1529396.7912392337</v>
      </c>
      <c r="H23" s="38">
        <f>H6+H7+H8+H9+H10+H11+H12-H15-H19+H20+H21+H22</f>
        <v>152939.67912392339</v>
      </c>
      <c r="I23" s="38">
        <f>G23+H23</f>
        <v>1682336.4703631571</v>
      </c>
      <c r="J23" s="38">
        <f>J6+J7+J8+J9+J10+J11+J12-J15-J19+J20+J22</f>
        <v>1506829.5895967467</v>
      </c>
      <c r="K23" s="38">
        <f>K6+K7+K8+K9+K10+K11+K12-K15-K19+K20+K21+K22</f>
        <v>150682.95895967467</v>
      </c>
      <c r="L23" s="38">
        <f>J23+K23</f>
        <v>1657512.5485564214</v>
      </c>
      <c r="M23" s="38">
        <f>M6+M7+M8+M9+M10+M11+M12-M15-M19+M20+M22</f>
        <v>1465413.6253467468</v>
      </c>
      <c r="N23" s="38">
        <f>N6+N7+N8+N9+N10+N11+N12-N15-N19+N20+N21+N22</f>
        <v>146541.36253467467</v>
      </c>
      <c r="O23" s="38">
        <f>M23+N23</f>
        <v>1611954.9878814213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256668.64293030553</v>
      </c>
      <c r="E25" s="44">
        <v>0</v>
      </c>
      <c r="F25" s="45">
        <f t="shared" ref="F25:F44" si="13">D25+E25</f>
        <v>256668.64293030553</v>
      </c>
      <c r="G25" s="44">
        <v>268284.69634899904</v>
      </c>
      <c r="H25" s="44">
        <v>0</v>
      </c>
      <c r="I25" s="45">
        <f t="shared" ref="I25:I33" si="14">G25+H25</f>
        <v>268284.69634899904</v>
      </c>
      <c r="J25" s="44">
        <v>268284.69634899904</v>
      </c>
      <c r="K25" s="44">
        <v>0</v>
      </c>
      <c r="L25" s="45">
        <f t="shared" ref="L25:L44" si="15">J25+K25</f>
        <v>268284.69634899904</v>
      </c>
      <c r="M25" s="44">
        <v>268284.69634899904</v>
      </c>
      <c r="N25" s="44">
        <v>0</v>
      </c>
      <c r="O25" s="45">
        <f t="shared" ref="O25:O43" si="16">M25+N25</f>
        <v>268284.69634899904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80956.130378263435</v>
      </c>
      <c r="E26" s="22">
        <v>0</v>
      </c>
      <c r="F26" s="36">
        <f t="shared" si="13"/>
        <v>80956.130378263435</v>
      </c>
      <c r="G26" s="22">
        <v>83327.676071856084</v>
      </c>
      <c r="H26" s="22">
        <v>0</v>
      </c>
      <c r="I26" s="36">
        <f t="shared" si="14"/>
        <v>83327.676071856084</v>
      </c>
      <c r="J26" s="22">
        <v>83327.676071856084</v>
      </c>
      <c r="K26" s="22">
        <v>0</v>
      </c>
      <c r="L26" s="36">
        <f t="shared" si="15"/>
        <v>83327.676071856084</v>
      </c>
      <c r="M26" s="22">
        <v>83327.676071856084</v>
      </c>
      <c r="N26" s="22">
        <v>0</v>
      </c>
      <c r="O26" s="36">
        <f t="shared" si="16"/>
        <v>83327.676071856084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177179.33458574594</v>
      </c>
      <c r="E27" s="47">
        <v>0</v>
      </c>
      <c r="F27" s="48">
        <f t="shared" si="13"/>
        <v>177179.33458574594</v>
      </c>
      <c r="G27" s="47">
        <v>184001.87046194522</v>
      </c>
      <c r="H27" s="47">
        <v>0</v>
      </c>
      <c r="I27" s="48">
        <f t="shared" si="14"/>
        <v>184001.87046194522</v>
      </c>
      <c r="J27" s="47">
        <v>184001.87046194522</v>
      </c>
      <c r="K27" s="47">
        <v>0</v>
      </c>
      <c r="L27" s="48">
        <f t="shared" si="15"/>
        <v>184001.87046194522</v>
      </c>
      <c r="M27" s="47">
        <v>184001.87046194522</v>
      </c>
      <c r="N27" s="47">
        <v>0</v>
      </c>
      <c r="O27" s="48">
        <f t="shared" si="16"/>
        <v>184001.87046194522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20893.152367012673</v>
      </c>
      <c r="E29" s="47">
        <v>11342.4</v>
      </c>
      <c r="F29" s="48">
        <f t="shared" si="13"/>
        <v>32235.552367012671</v>
      </c>
      <c r="G29" s="47">
        <v>21043.252081493163</v>
      </c>
      <c r="H29" s="47">
        <v>11342.4</v>
      </c>
      <c r="I29" s="48">
        <f t="shared" si="14"/>
        <v>32385.652081493165</v>
      </c>
      <c r="J29" s="47">
        <v>21043.252081493163</v>
      </c>
      <c r="K29" s="47">
        <v>11342.4</v>
      </c>
      <c r="L29" s="48">
        <f t="shared" si="15"/>
        <v>32385.652081493165</v>
      </c>
      <c r="M29" s="47">
        <v>21043.252081493163</v>
      </c>
      <c r="N29" s="47">
        <v>11342.4</v>
      </c>
      <c r="O29" s="48">
        <f t="shared" si="16"/>
        <v>32385.652081493165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279028.61733102205</v>
      </c>
      <c r="E30" s="51">
        <f>+E26+E27+E28+E29</f>
        <v>11342.4</v>
      </c>
      <c r="F30" s="52">
        <f t="shared" si="13"/>
        <v>290371.01733102207</v>
      </c>
      <c r="G30" s="51">
        <f>+G26+G27+G28+G29</f>
        <v>288372.79861529445</v>
      </c>
      <c r="H30" s="51">
        <f>+H26+H27+H28+H29</f>
        <v>11342.4</v>
      </c>
      <c r="I30" s="52">
        <f t="shared" si="14"/>
        <v>299715.19861529447</v>
      </c>
      <c r="J30" s="51">
        <f>+J26+J27+J28+J29</f>
        <v>288372.79861529445</v>
      </c>
      <c r="K30" s="51">
        <f>+K26+K27+K28+K29</f>
        <v>11342.4</v>
      </c>
      <c r="L30" s="52">
        <f t="shared" si="15"/>
        <v>299715.19861529447</v>
      </c>
      <c r="M30" s="51">
        <f>+M26+M27+M28+M29</f>
        <v>288372.79861529445</v>
      </c>
      <c r="N30" s="51">
        <f>+N26+N27+N28+N29</f>
        <v>11342.4</v>
      </c>
      <c r="O30" s="52">
        <f t="shared" si="16"/>
        <v>299715.19861529447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125420.30531826665</v>
      </c>
      <c r="E31" s="53">
        <v>0</v>
      </c>
      <c r="F31" s="48">
        <f t="shared" si="13"/>
        <v>125420.30531826665</v>
      </c>
      <c r="G31" s="147">
        <f>VLOOKUP($A$1,REM_ToolEnrico!$B$5:$J$38,4,FALSE)</f>
        <v>104616.3251631797</v>
      </c>
      <c r="H31" s="53">
        <v>0</v>
      </c>
      <c r="I31" s="48">
        <f t="shared" si="14"/>
        <v>104616.3251631797</v>
      </c>
      <c r="J31" s="147">
        <f>VLOOKUP($A$1,REM_ToolEnrico!$B$5:$J$38,6,FALSE)</f>
        <v>112941.64007331192</v>
      </c>
      <c r="K31" s="53">
        <v>0</v>
      </c>
      <c r="L31" s="48">
        <f t="shared" si="15"/>
        <v>112941.64007331192</v>
      </c>
      <c r="M31" s="147">
        <f>VLOOKUP($A$1,REM_ToolEnrico!$B$5:$J$38,8,FALSE)</f>
        <v>113448.53512531149</v>
      </c>
      <c r="N31" s="53">
        <v>0</v>
      </c>
      <c r="O31" s="48">
        <f t="shared" si="16"/>
        <v>113448.53512531149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89841.815126000001</v>
      </c>
      <c r="F32" s="48">
        <f t="shared" si="13"/>
        <v>89841.815126000001</v>
      </c>
      <c r="G32" s="54">
        <f>+G33+G34+G35+G36</f>
        <v>0</v>
      </c>
      <c r="H32" s="54">
        <f>+H33+H34+H35+H36</f>
        <v>89841.815126000001</v>
      </c>
      <c r="I32" s="48">
        <f t="shared" si="14"/>
        <v>89841.815126000001</v>
      </c>
      <c r="J32" s="54">
        <f>+J33+J34+J35+J36</f>
        <v>0</v>
      </c>
      <c r="K32" s="54">
        <f>+K33+K34+K35+K36</f>
        <v>89841.815126000001</v>
      </c>
      <c r="L32" s="48">
        <f t="shared" si="15"/>
        <v>89841.815126000001</v>
      </c>
      <c r="M32" s="54">
        <f>+M33+M34+M35+M36</f>
        <v>0</v>
      </c>
      <c r="N32" s="54">
        <f>+N33+N34+N35+N36</f>
        <v>89841.815126000001</v>
      </c>
      <c r="O32" s="48">
        <f t="shared" si="16"/>
        <v>89841.815126000001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89841.815126000001</v>
      </c>
      <c r="F34" s="48">
        <f>D34+E34</f>
        <v>89841.815126000001</v>
      </c>
      <c r="G34" s="47">
        <v>0</v>
      </c>
      <c r="H34" s="47">
        <v>89841.815126000001</v>
      </c>
      <c r="I34" s="48">
        <f>G34+H34</f>
        <v>89841.815126000001</v>
      </c>
      <c r="J34" s="47">
        <v>0</v>
      </c>
      <c r="K34" s="158">
        <v>89841.815126000001</v>
      </c>
      <c r="L34" s="48">
        <f t="shared" si="15"/>
        <v>89841.815126000001</v>
      </c>
      <c r="M34" s="47">
        <v>0</v>
      </c>
      <c r="N34" s="158">
        <v>89841.815126000001</v>
      </c>
      <c r="O34" s="48">
        <f t="shared" si="16"/>
        <v>89841.815126000001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70242.276816559053</v>
      </c>
      <c r="E37" s="47">
        <v>0</v>
      </c>
      <c r="F37" s="48">
        <f t="shared" si="13"/>
        <v>70242.276816559053</v>
      </c>
      <c r="G37" s="147">
        <f>VLOOKUP($A$1,REM_ToolEnrico!$B$5:$J$38,5,FALSE)</f>
        <v>70475.448046639824</v>
      </c>
      <c r="H37" s="47">
        <v>0</v>
      </c>
      <c r="I37" s="48">
        <f t="shared" si="17"/>
        <v>70475.448046639824</v>
      </c>
      <c r="J37" s="147">
        <f>VLOOKUP($A$1,REM_ToolEnrico!$B$5:$J$38,7,FALSE)</f>
        <v>72778.798193552837</v>
      </c>
      <c r="K37" s="47">
        <v>0</v>
      </c>
      <c r="L37" s="48">
        <f t="shared" si="15"/>
        <v>72778.798193552837</v>
      </c>
      <c r="M37" s="147">
        <f>VLOOKUP($A$1,REM_ToolEnrico!$B$5:$J$38,9,FALSE)</f>
        <v>73156.751857554569</v>
      </c>
      <c r="N37" s="47">
        <v>0</v>
      </c>
      <c r="O37" s="48">
        <f t="shared" si="16"/>
        <v>73156.751857554569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752.25665305401367</v>
      </c>
      <c r="E38" s="47">
        <v>0</v>
      </c>
      <c r="F38" s="48">
        <f t="shared" si="13"/>
        <v>752.25665305401367</v>
      </c>
      <c r="G38" s="47">
        <v>753.76116636012171</v>
      </c>
      <c r="H38" s="47">
        <v>0</v>
      </c>
      <c r="I38" s="48">
        <f t="shared" si="17"/>
        <v>753.76116636012171</v>
      </c>
      <c r="J38" s="47">
        <v>753.76116636012171</v>
      </c>
      <c r="K38" s="47">
        <v>0</v>
      </c>
      <c r="L38" s="48">
        <f t="shared" si="15"/>
        <v>753.76116636012171</v>
      </c>
      <c r="M38" s="47">
        <v>753.76116636012171</v>
      </c>
      <c r="N38" s="47">
        <v>0</v>
      </c>
      <c r="O38" s="48">
        <f t="shared" si="16"/>
        <v>753.76116636012171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196414.83878787974</v>
      </c>
      <c r="E40" s="51">
        <f>E38+E37+E32+E31+E39</f>
        <v>89841.815126000001</v>
      </c>
      <c r="F40" s="52">
        <f t="shared" si="13"/>
        <v>286256.65391387977</v>
      </c>
      <c r="G40" s="51">
        <f>G38+G37+G32+G31+G39</f>
        <v>175845.53437617965</v>
      </c>
      <c r="H40" s="51">
        <f>H38+H37+H32+H31+H39</f>
        <v>89841.815126000001</v>
      </c>
      <c r="I40" s="52">
        <f t="shared" si="17"/>
        <v>265687.34950217966</v>
      </c>
      <c r="J40" s="51">
        <f>J38+J37+J32+J31+J39</f>
        <v>186474.19943322489</v>
      </c>
      <c r="K40" s="51">
        <f>K38+K37+K32+K31+K39</f>
        <v>89841.815126000001</v>
      </c>
      <c r="L40" s="52">
        <f t="shared" si="15"/>
        <v>276316.01455922489</v>
      </c>
      <c r="M40" s="51">
        <f>M38+M37+M32+M31+M39</f>
        <v>187359.04814922618</v>
      </c>
      <c r="N40" s="51">
        <f>N38+N37+N32+N31+N39</f>
        <v>89841.815126000001</v>
      </c>
      <c r="O40" s="52">
        <f t="shared" si="16"/>
        <v>277200.86327522621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12279.853725329594</v>
      </c>
      <c r="E42" s="22">
        <v>0</v>
      </c>
      <c r="F42" s="36">
        <f t="shared" si="13"/>
        <v>12279.853725329594</v>
      </c>
      <c r="G42" s="22">
        <v>23138.24528309692</v>
      </c>
      <c r="H42" s="22">
        <v>0</v>
      </c>
      <c r="I42" s="36">
        <f t="shared" si="17"/>
        <v>23138.24528309692</v>
      </c>
      <c r="J42" s="22">
        <v>23138.24528309692</v>
      </c>
      <c r="K42" s="22">
        <v>0</v>
      </c>
      <c r="L42" s="36">
        <f t="shared" si="15"/>
        <v>23138.24528309692</v>
      </c>
      <c r="M42" s="22">
        <v>23138.24528309692</v>
      </c>
      <c r="N42" s="22">
        <v>0</v>
      </c>
      <c r="O42" s="36">
        <f t="shared" si="16"/>
        <v>23138.24528309692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-9841.8151259999995</v>
      </c>
      <c r="F44" s="36">
        <f t="shared" si="13"/>
        <v>-9841.8151259999995</v>
      </c>
      <c r="G44" s="57">
        <v>0</v>
      </c>
      <c r="H44" s="57">
        <v>-9841.8151259999995</v>
      </c>
      <c r="I44" s="36">
        <f t="shared" si="17"/>
        <v>-9841.8151259999995</v>
      </c>
      <c r="J44" s="57">
        <v>0</v>
      </c>
      <c r="K44" s="57">
        <v>0</v>
      </c>
      <c r="L44" s="36">
        <f t="shared" si="15"/>
        <v>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74439.195277453691</v>
      </c>
      <c r="F45" s="36">
        <f>E45</f>
        <v>74439.195277453691</v>
      </c>
      <c r="G45" s="34"/>
      <c r="H45" s="22">
        <f>G47*0.1</f>
        <v>75564.127462357006</v>
      </c>
      <c r="I45" s="36">
        <f>H45</f>
        <v>75564.127462357006</v>
      </c>
      <c r="J45" s="34"/>
      <c r="K45" s="22">
        <f>J47*0.1</f>
        <v>76626.993968061521</v>
      </c>
      <c r="L45" s="36">
        <f>K45</f>
        <v>76626.993968061521</v>
      </c>
      <c r="M45" s="34"/>
      <c r="N45" s="22">
        <f>M47*0.1</f>
        <v>76715.478839661664</v>
      </c>
      <c r="O45" s="36">
        <f>N45</f>
        <v>76715.478839661664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744391.95277453691</v>
      </c>
      <c r="E47" s="59">
        <f>E25+E30+E40+E41+E42+E43+E44+E45</f>
        <v>165781.59527745369</v>
      </c>
      <c r="F47" s="60">
        <f>D47+E47</f>
        <v>910173.54805199057</v>
      </c>
      <c r="G47" s="59">
        <f>G25+G30+G40+G41+G42+G43+G44+G46</f>
        <v>755641.27462357003</v>
      </c>
      <c r="H47" s="59">
        <f>H25+H30+H40+H41+H42+H43+H44+H45+H46</f>
        <v>166906.52746235701</v>
      </c>
      <c r="I47" s="60">
        <f>G47+H47</f>
        <v>922547.80208592699</v>
      </c>
      <c r="J47" s="59">
        <f>J25+J30+J40+J41+J42+J43+J44+J46</f>
        <v>766269.93968061521</v>
      </c>
      <c r="K47" s="59">
        <f>K25+K30+K40+K41+K42+K43+K44+K45+K46</f>
        <v>177811.20909406152</v>
      </c>
      <c r="L47" s="60">
        <f>J47+K47</f>
        <v>944081.14877467672</v>
      </c>
      <c r="M47" s="59">
        <f>M25+M30+M40+M41+M42+M43+M44+M46</f>
        <v>767154.78839661658</v>
      </c>
      <c r="N47" s="59">
        <f>N25+N30+N40+N41+N42+N43+N44+N45+N46</f>
        <v>177899.69396566166</v>
      </c>
      <c r="O47" s="60">
        <f>M47+N47</f>
        <v>945054.48236227827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2205786.3816751707</v>
      </c>
      <c r="E49" s="65">
        <v>311645.03977394203</v>
      </c>
      <c r="F49" s="65">
        <f>D49+E49</f>
        <v>2517431.4214491127</v>
      </c>
      <c r="G49" s="65">
        <f>G50</f>
        <v>2285038.0658628037</v>
      </c>
      <c r="H49" s="65">
        <v>319846.20658628037</v>
      </c>
      <c r="I49" s="65">
        <f t="shared" ref="I49" si="21">G49+H49</f>
        <v>2604884.2724490841</v>
      </c>
      <c r="J49" s="65">
        <f>J50</f>
        <v>2273099.5292773619</v>
      </c>
      <c r="K49" s="65">
        <v>329688.02171228034</v>
      </c>
      <c r="L49" s="65">
        <f t="shared" ref="L49" si="22">J49+K49</f>
        <v>2602787.5509896423</v>
      </c>
      <c r="M49" s="65">
        <f>M50</f>
        <v>2232568.4137433632</v>
      </c>
      <c r="N49" s="65">
        <v>329688.02171228034</v>
      </c>
      <c r="O49" s="65">
        <f t="shared" ref="O49" si="23">M49+N49</f>
        <v>2562256.4354556436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2203026.3977394202</v>
      </c>
      <c r="E50" s="59">
        <f t="shared" si="24"/>
        <v>311645.03977394197</v>
      </c>
      <c r="F50" s="59">
        <f t="shared" si="24"/>
        <v>2514671.4375133622</v>
      </c>
      <c r="G50" s="59">
        <f>+G23+G47</f>
        <v>2285038.0658628037</v>
      </c>
      <c r="H50" s="59">
        <f t="shared" si="24"/>
        <v>319846.20658628037</v>
      </c>
      <c r="I50" s="59">
        <f t="shared" si="24"/>
        <v>2604884.2724490841</v>
      </c>
      <c r="J50" s="59">
        <f t="shared" si="24"/>
        <v>2273099.5292773619</v>
      </c>
      <c r="K50" s="59">
        <f>+K23+K47</f>
        <v>328494.16805373621</v>
      </c>
      <c r="L50" s="59">
        <f t="shared" si="24"/>
        <v>2601593.6973310979</v>
      </c>
      <c r="M50" s="59">
        <f>+M23+M47</f>
        <v>2232568.4137433632</v>
      </c>
      <c r="N50" s="59">
        <f t="shared" si="24"/>
        <v>324441.05650033633</v>
      </c>
      <c r="O50" s="59">
        <f t="shared" si="24"/>
        <v>2557009.4702436998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51578.516537474236</v>
      </c>
      <c r="E51" s="68">
        <f>E44+E20</f>
        <v>-9841.8151259999995</v>
      </c>
      <c r="F51" s="146"/>
      <c r="G51" s="68">
        <f>G44+G20</f>
        <v>63983.165892486897</v>
      </c>
      <c r="H51" s="68">
        <f>H44+H20</f>
        <v>-9841.8151259999995</v>
      </c>
      <c r="I51" s="146"/>
      <c r="J51" s="68">
        <f>J44+J20</f>
        <v>41415.964250000019</v>
      </c>
      <c r="K51" s="68">
        <f>K44+K20</f>
        <v>0</v>
      </c>
      <c r="L51" s="146"/>
      <c r="M51" s="68">
        <f>M44+M20</f>
        <v>0</v>
      </c>
      <c r="N51" s="68">
        <f>N44+N20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0.81490000000000007</v>
      </c>
      <c r="G53" s="72"/>
      <c r="H53" s="73"/>
      <c r="I53" s="74">
        <v>0.81490000000000007</v>
      </c>
      <c r="J53" s="72"/>
      <c r="K53" s="73"/>
      <c r="L53" s="74">
        <v>0.81490000000000007</v>
      </c>
      <c r="M53" s="72"/>
      <c r="N53" s="73"/>
      <c r="O53" s="74">
        <v>0.81490000000000007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10162.781000000001</v>
      </c>
      <c r="G54" s="34"/>
      <c r="H54" s="76"/>
      <c r="I54" s="77">
        <v>10162.781000000001</v>
      </c>
      <c r="J54" s="34"/>
      <c r="K54" s="76"/>
      <c r="L54" s="77">
        <v>10162.781000000001</v>
      </c>
      <c r="M54" s="34"/>
      <c r="N54" s="76"/>
      <c r="O54" s="77">
        <v>10162.781000000001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25.623673584835764</v>
      </c>
      <c r="G55" s="34"/>
      <c r="H55" s="76"/>
      <c r="I55" s="78">
        <v>23.862692051585423</v>
      </c>
      <c r="J55" s="34"/>
      <c r="K55" s="76"/>
      <c r="L55" s="78">
        <v>24.655231727089518</v>
      </c>
      <c r="M55" s="34"/>
      <c r="N55" s="76"/>
      <c r="O55" s="78">
        <v>25.551448075996447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26.199735678826414</v>
      </c>
      <c r="G56" s="81"/>
      <c r="H56" s="82"/>
      <c r="I56" s="78">
        <v>26.199735678826414</v>
      </c>
      <c r="J56" s="81"/>
      <c r="K56" s="82"/>
      <c r="L56" s="78">
        <v>26.199735678826414</v>
      </c>
      <c r="M56" s="81"/>
      <c r="N56" s="82"/>
      <c r="O56" s="78">
        <v>26.199735678826414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-0.20348102422810529</v>
      </c>
      <c r="G60" s="90"/>
      <c r="H60" s="76"/>
      <c r="I60" s="89">
        <v>-0.20348102422810529</v>
      </c>
      <c r="J60" s="34"/>
      <c r="K60" s="91"/>
      <c r="L60" s="89">
        <v>-0.20348102422810529</v>
      </c>
      <c r="M60" s="34"/>
      <c r="N60" s="76"/>
      <c r="O60" s="89">
        <v>-0.20348102422810529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-0.20348102422810529</v>
      </c>
      <c r="G61" s="90"/>
      <c r="H61" s="76"/>
      <c r="I61" s="92">
        <v>-0.20348102422810529</v>
      </c>
      <c r="J61" s="34"/>
      <c r="K61" s="76"/>
      <c r="L61" s="93">
        <v>-0.20348102422810529</v>
      </c>
      <c r="M61" s="34"/>
      <c r="N61" s="76"/>
      <c r="O61" s="92">
        <v>-0.20348102422810529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0.79651897577189468</v>
      </c>
      <c r="G62" s="95"/>
      <c r="H62" s="82"/>
      <c r="I62" s="94">
        <v>0.79651897577189468</v>
      </c>
      <c r="J62" s="81"/>
      <c r="K62" s="82"/>
      <c r="L62" s="94">
        <v>0.79651897577189468</v>
      </c>
      <c r="M62" s="81"/>
      <c r="N62" s="82"/>
      <c r="O62" s="94">
        <v>0.79651897577189468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1.00000001E-3</v>
      </c>
      <c r="G66" s="34"/>
      <c r="H66" s="76"/>
      <c r="I66" s="104">
        <v>1.00000001E-3</v>
      </c>
      <c r="J66" s="34"/>
      <c r="K66" s="76"/>
      <c r="L66" s="104">
        <v>1.00000001E-3</v>
      </c>
      <c r="M66" s="34"/>
      <c r="N66" s="76"/>
      <c r="O66" s="104">
        <v>1.00000001E-3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6.5999999990000002E-2</v>
      </c>
      <c r="G70" s="34"/>
      <c r="H70" s="76"/>
      <c r="I70" s="105">
        <v>6.5999999990000002E-2</v>
      </c>
      <c r="J70" s="34"/>
      <c r="K70" s="76"/>
      <c r="L70" s="105">
        <v>6.5999999990000002E-2</v>
      </c>
      <c r="M70" s="34"/>
      <c r="N70" s="76"/>
      <c r="O70" s="105">
        <v>6.5999999990000002E-2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1.0659999999900001</v>
      </c>
      <c r="G71" s="34"/>
      <c r="H71" s="76"/>
      <c r="I71" s="106">
        <v>1.0659999999900001</v>
      </c>
      <c r="J71" s="34"/>
      <c r="K71" s="76"/>
      <c r="L71" s="106">
        <v>1.0659999999900001</v>
      </c>
      <c r="M71" s="34"/>
      <c r="N71" s="76"/>
      <c r="O71" s="106">
        <v>1.0659999999900001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2514671.4375133622</v>
      </c>
      <c r="G72" s="34"/>
      <c r="H72" s="76"/>
      <c r="I72" s="108">
        <f>I50</f>
        <v>2604884.2724490841</v>
      </c>
      <c r="J72" s="34"/>
      <c r="K72" s="76"/>
      <c r="L72" s="108">
        <f>L50</f>
        <v>2601593.6973310979</v>
      </c>
      <c r="M72" s="34"/>
      <c r="N72" s="76"/>
      <c r="O72" s="108">
        <f>O50</f>
        <v>2557009.4702436998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1549866.7761704018</v>
      </c>
      <c r="G73" s="34"/>
      <c r="H73" s="76"/>
      <c r="I73" s="110">
        <f>F81</f>
        <v>1604497.8894613716</v>
      </c>
      <c r="J73" s="34"/>
      <c r="K73" s="76"/>
      <c r="L73" s="110">
        <f>I81</f>
        <v>1682336.4703631571</v>
      </c>
      <c r="M73" s="34"/>
      <c r="N73" s="76"/>
      <c r="O73" s="110">
        <f>L81</f>
        <v>1657512.5485564214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875246.35773663176</v>
      </c>
      <c r="G74" s="34"/>
      <c r="H74" s="76"/>
      <c r="I74" s="110">
        <f>F82</f>
        <v>910173.54805199069</v>
      </c>
      <c r="J74" s="34"/>
      <c r="K74" s="76"/>
      <c r="L74" s="110">
        <f>I82</f>
        <v>922547.80208592699</v>
      </c>
      <c r="M74" s="34"/>
      <c r="N74" s="76"/>
      <c r="O74" s="110">
        <f>L82</f>
        <v>944081.14877467672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2425113.1339070336</v>
      </c>
      <c r="G75" s="34"/>
      <c r="H75" s="76"/>
      <c r="I75" s="111">
        <f>SUM(I73:I74)</f>
        <v>2514671.4375133622</v>
      </c>
      <c r="J75" s="34"/>
      <c r="K75" s="76"/>
      <c r="L75" s="111">
        <f>SUM(L73:L74)</f>
        <v>2604884.2724490841</v>
      </c>
      <c r="M75" s="34"/>
      <c r="N75" s="76"/>
      <c r="O75" s="111">
        <f>SUM(O73:O74)</f>
        <v>2601593.6973310979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1.0369295363396278</v>
      </c>
      <c r="G76" s="81"/>
      <c r="H76" s="82"/>
      <c r="I76" s="112">
        <f>I72/I75</f>
        <v>1.0358746011864393</v>
      </c>
      <c r="J76" s="81"/>
      <c r="K76" s="82"/>
      <c r="L76" s="112">
        <f>L72/L75</f>
        <v>0.9987367672518932</v>
      </c>
      <c r="M76" s="81"/>
      <c r="N76" s="82"/>
      <c r="O76" s="112">
        <f>O72/O75</f>
        <v>0.98286272482396631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2514671.4375133622</v>
      </c>
      <c r="G78" s="73"/>
      <c r="H78" s="73"/>
      <c r="I78" s="115">
        <f>IF(I72&lt;=I75*I71,I72,I75*I71)</f>
        <v>2604884.2724490841</v>
      </c>
      <c r="J78" s="73"/>
      <c r="K78" s="73"/>
      <c r="L78" s="115">
        <f>IF(L72&lt;=L75*L71,L72,L75*L71)</f>
        <v>2601593.6973310979</v>
      </c>
      <c r="M78" s="73"/>
      <c r="N78" s="73"/>
      <c r="O78" s="115">
        <f>IF(O72&lt;=O75*O71,O72,O75*O71)</f>
        <v>2557009.4702436998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1458634.4449648832</v>
      </c>
      <c r="E81" s="120">
        <f>E23</f>
        <v>145863.44449648832</v>
      </c>
      <c r="F81" s="115">
        <f>D81+E81</f>
        <v>1604497.8894613716</v>
      </c>
      <c r="G81" s="119">
        <f>G23-I79</f>
        <v>1529396.7912392337</v>
      </c>
      <c r="H81" s="120">
        <f>H23</f>
        <v>152939.67912392339</v>
      </c>
      <c r="I81" s="115">
        <f>G81+H81</f>
        <v>1682336.4703631571</v>
      </c>
      <c r="J81" s="119">
        <f>J23-L79</f>
        <v>1506829.5895967467</v>
      </c>
      <c r="K81" s="120">
        <f>K23</f>
        <v>150682.95895967467</v>
      </c>
      <c r="L81" s="115">
        <f>J81+K81</f>
        <v>1657512.5485564214</v>
      </c>
      <c r="M81" s="119">
        <f>M23-O79</f>
        <v>1465413.6253467468</v>
      </c>
      <c r="N81" s="120">
        <f>N23</f>
        <v>146541.36253467467</v>
      </c>
      <c r="O81" s="115">
        <f>M81+N81</f>
        <v>1611954.9878814213</v>
      </c>
    </row>
    <row r="82" spans="1:52" s="14" customFormat="1" ht="20" customHeight="1" thickBot="1">
      <c r="B82" s="118" t="s">
        <v>72</v>
      </c>
      <c r="D82" s="121">
        <f>D50-D81-F79</f>
        <v>744391.95277453703</v>
      </c>
      <c r="E82" s="122">
        <f>E50-E81</f>
        <v>165781.59527745366</v>
      </c>
      <c r="F82" s="123">
        <f>D82+E82</f>
        <v>910173.54805199069</v>
      </c>
      <c r="G82" s="121">
        <f>G49-G81-I79</f>
        <v>755641.27462357003</v>
      </c>
      <c r="H82" s="122">
        <f>H50-H81</f>
        <v>166906.52746235699</v>
      </c>
      <c r="I82" s="123">
        <f>G82+H82</f>
        <v>922547.80208592699</v>
      </c>
      <c r="J82" s="121">
        <f>J50-J81-L79</f>
        <v>766269.93968061521</v>
      </c>
      <c r="K82" s="122">
        <f>K50-K81</f>
        <v>177811.20909406155</v>
      </c>
      <c r="L82" s="123">
        <f>J82+K82</f>
        <v>944081.14877467672</v>
      </c>
      <c r="M82" s="121">
        <f>M49-M81-O79</f>
        <v>767154.78839661647</v>
      </c>
      <c r="N82" s="122">
        <f>N50-N81</f>
        <v>177899.69396566166</v>
      </c>
      <c r="O82" s="123">
        <f>M82+N82</f>
        <v>945054.48236227816</v>
      </c>
    </row>
    <row r="83" spans="1:52" s="124" customFormat="1" ht="17.25" customHeight="1" thickBot="1">
      <c r="B83" s="125" t="s">
        <v>73</v>
      </c>
      <c r="C83" s="14"/>
      <c r="D83" s="126">
        <f>SUM(D81:D82)</f>
        <v>2203026.3977394202</v>
      </c>
      <c r="E83" s="127">
        <f t="shared" ref="E83:O83" si="25">SUM(E81:E82)</f>
        <v>311645.03977394197</v>
      </c>
      <c r="F83" s="128">
        <f t="shared" si="25"/>
        <v>2514671.4375133622</v>
      </c>
      <c r="G83" s="126">
        <f t="shared" si="25"/>
        <v>2285038.0658628037</v>
      </c>
      <c r="H83" s="127">
        <f t="shared" si="25"/>
        <v>319846.20658628037</v>
      </c>
      <c r="I83" s="128">
        <f t="shared" si="25"/>
        <v>2604884.2724490841</v>
      </c>
      <c r="J83" s="126">
        <f t="shared" si="25"/>
        <v>2273099.5292773619</v>
      </c>
      <c r="K83" s="127">
        <f t="shared" si="25"/>
        <v>328494.16805373621</v>
      </c>
      <c r="L83" s="128">
        <f t="shared" si="25"/>
        <v>2601593.6973310979</v>
      </c>
      <c r="M83" s="126">
        <f t="shared" si="25"/>
        <v>2232568.4137433632</v>
      </c>
      <c r="N83" s="127">
        <f t="shared" si="25"/>
        <v>324441.05650033633</v>
      </c>
      <c r="O83" s="128">
        <f t="shared" si="25"/>
        <v>2557009.4702436994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1604497.8894613716</v>
      </c>
      <c r="G88" s="72"/>
      <c r="H88" s="73"/>
      <c r="I88" s="136">
        <f>I81-I85</f>
        <v>1682336.4703631571</v>
      </c>
      <c r="J88" s="72"/>
      <c r="K88" s="73"/>
      <c r="L88" s="136">
        <f>L81-L85</f>
        <v>1657512.5485564214</v>
      </c>
      <c r="M88" s="72"/>
      <c r="N88" s="73"/>
      <c r="O88" s="136">
        <f>O81-O85</f>
        <v>1611954.9878814213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910173.54805199069</v>
      </c>
      <c r="G89" s="34"/>
      <c r="H89" s="76"/>
      <c r="I89" s="138">
        <f>I82-I86</f>
        <v>922547.80208592699</v>
      </c>
      <c r="J89" s="34"/>
      <c r="K89" s="76"/>
      <c r="L89" s="138">
        <f>L82-L86</f>
        <v>944081.14877467672</v>
      </c>
      <c r="M89" s="34"/>
      <c r="N89" s="76"/>
      <c r="O89" s="138">
        <f>O82-O86</f>
        <v>945054.48236227816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2514671.4375133622</v>
      </c>
      <c r="G90" s="81"/>
      <c r="H90" s="82"/>
      <c r="I90" s="139">
        <f>+I88+I89</f>
        <v>2604884.2724490841</v>
      </c>
      <c r="J90" s="81"/>
      <c r="K90" s="82"/>
      <c r="L90" s="139">
        <f>+L88+L89</f>
        <v>2601593.6973310979</v>
      </c>
      <c r="M90" s="81"/>
      <c r="N90" s="82"/>
      <c r="O90" s="139">
        <f>+O88+O89</f>
        <v>2557009.4702436994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-655.10763760585542</v>
      </c>
      <c r="E92" s="143">
        <v>0</v>
      </c>
      <c r="F92" s="144">
        <f>D92+E92</f>
        <v>-655.10763760585542</v>
      </c>
      <c r="G92" s="142">
        <v>-31055.946821629062</v>
      </c>
      <c r="H92" s="143">
        <v>0</v>
      </c>
      <c r="I92" s="144">
        <f>G92+H92</f>
        <v>-31055.946821629062</v>
      </c>
      <c r="J92" s="142">
        <v>-31055.946821629062</v>
      </c>
      <c r="K92" s="143">
        <v>0</v>
      </c>
      <c r="L92" s="144">
        <f>J92+K92</f>
        <v>-31055.946821629062</v>
      </c>
      <c r="M92" s="142">
        <v>-31055.946821629062</v>
      </c>
      <c r="N92" s="143">
        <v>0</v>
      </c>
      <c r="O92" s="144">
        <f>M92+N92</f>
        <v>-31055.946821629062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2248420.820924418</v>
      </c>
      <c r="E96" s="166">
        <f>E6+E7+E8+E9+E11+E25+E30+E40+E42+E21+E45</f>
        <v>321486.854899942</v>
      </c>
      <c r="F96" s="166">
        <f t="shared" ref="F96" si="26">F6+F7+F8+F9+F11+F25+F30+F40+F42</f>
        <v>2349605.0360504179</v>
      </c>
      <c r="G96" s="166">
        <f t="shared" ref="G96" si="27">G6+G7+G8+G9+G11+G25+G30+G40+G42+G21+G45</f>
        <v>2317930.9636291303</v>
      </c>
      <c r="H96" s="166">
        <f t="shared" ref="H96" si="28">H6+H7+H8+H9+H11+H25+H30+H40+H42</f>
        <v>101184.215126</v>
      </c>
      <c r="I96" s="166">
        <f t="shared" ref="I96" si="29">I6+I7+I8+I9+I11+I25+I30+I40+I42+I21+I45</f>
        <v>2647618.9853414102</v>
      </c>
      <c r="J96" s="166">
        <f t="shared" ref="J96" si="30">J6+J7+J8+J9+J11+J25+J30+J40+J42</f>
        <v>2328559.6286861752</v>
      </c>
      <c r="K96" s="166">
        <f t="shared" ref="K96" si="31">K6+K7+K8+K9+K11+K25+K30+K40+K42+K21+K45</f>
        <v>328494.16805373621</v>
      </c>
      <c r="L96" s="166">
        <f t="shared" ref="L96" si="32">L6+L7+L8+L9+L11+L25+L30+L40+L42</f>
        <v>2429743.8438121751</v>
      </c>
      <c r="M96" s="166">
        <f t="shared" ref="M96" si="33">M6+M7+M8+M9+M11+M25+M30+M40+M42+M21+M45</f>
        <v>2329444.4774021767</v>
      </c>
      <c r="N96" s="166">
        <f t="shared" ref="N96" si="34">N6+N7+N8+N9+N11+N25+N30+N40+N42</f>
        <v>101184.215126</v>
      </c>
      <c r="O96" s="166">
        <f t="shared" ref="O96" si="35">O6+O7+O8+O9+O11+O25+O30+O40+O42+O21+O45</f>
        <v>2653885.5339025129</v>
      </c>
    </row>
    <row r="97" spans="4:15" s="14" customFormat="1">
      <c r="D97" s="166">
        <f>D96-D15-D19</f>
        <v>2151447.8812019462</v>
      </c>
      <c r="E97" s="166">
        <f>E96-E15-E19</f>
        <v>321486.854899942</v>
      </c>
      <c r="F97" s="166">
        <f t="shared" ref="F97:O97" si="36">F96-F15-F19</f>
        <v>2252632.0963279461</v>
      </c>
      <c r="G97" s="166">
        <f t="shared" si="36"/>
        <v>2221054.8999703173</v>
      </c>
      <c r="H97" s="166">
        <f t="shared" si="36"/>
        <v>101184.215126</v>
      </c>
      <c r="I97" s="166">
        <f t="shared" si="36"/>
        <v>2550742.9216825971</v>
      </c>
      <c r="J97" s="166">
        <f t="shared" si="36"/>
        <v>2231683.5650273622</v>
      </c>
      <c r="K97" s="166">
        <f t="shared" si="36"/>
        <v>328494.16805373621</v>
      </c>
      <c r="L97" s="166">
        <f t="shared" si="36"/>
        <v>2332867.7801533621</v>
      </c>
      <c r="M97" s="166">
        <f t="shared" si="36"/>
        <v>2232568.4137433637</v>
      </c>
      <c r="N97" s="166">
        <f t="shared" si="36"/>
        <v>101184.215126</v>
      </c>
      <c r="O97" s="166">
        <f t="shared" si="36"/>
        <v>2557009.4702436998</v>
      </c>
    </row>
    <row r="98" spans="4:15" s="14" customFormat="1">
      <c r="D98" s="166">
        <f>D20+D44</f>
        <v>51578.516537474236</v>
      </c>
      <c r="E98" s="166">
        <f>E20+E44</f>
        <v>-9841.8151259999995</v>
      </c>
      <c r="F98" s="166">
        <f t="shared" ref="F98:O98" si="37">F20+F44</f>
        <v>41736.701411474234</v>
      </c>
      <c r="G98" s="166">
        <f t="shared" si="37"/>
        <v>63983.165892486897</v>
      </c>
      <c r="H98" s="166">
        <f t="shared" si="37"/>
        <v>-9841.8151259999995</v>
      </c>
      <c r="I98" s="166">
        <f t="shared" si="37"/>
        <v>54141.350766486896</v>
      </c>
      <c r="J98" s="166">
        <f t="shared" si="37"/>
        <v>41415.964250000019</v>
      </c>
      <c r="K98" s="166">
        <f t="shared" si="37"/>
        <v>0</v>
      </c>
      <c r="L98" s="166">
        <f t="shared" si="37"/>
        <v>41415.964250000019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54" priority="7" operator="containsText" text="ERRORE">
      <formula>NOT(ISERROR(SEARCH("ERRORE",F81)))</formula>
    </cfRule>
  </conditionalFormatting>
  <conditionalFormatting sqref="I83">
    <cfRule type="containsText" dxfId="53" priority="6" operator="containsText" text="ERRORE">
      <formula>NOT(ISERROR(SEARCH("ERRORE",I83)))</formula>
    </cfRule>
  </conditionalFormatting>
  <conditionalFormatting sqref="I81:I82">
    <cfRule type="containsText" dxfId="52" priority="5" operator="containsText" text="ERRORE">
      <formula>NOT(ISERROR(SEARCH("ERRORE",I81)))</formula>
    </cfRule>
  </conditionalFormatting>
  <conditionalFormatting sqref="L83">
    <cfRule type="containsText" dxfId="51" priority="4" operator="containsText" text="ERRORE">
      <formula>NOT(ISERROR(SEARCH("ERRORE",L83)))</formula>
    </cfRule>
  </conditionalFormatting>
  <conditionalFormatting sqref="L81:L82">
    <cfRule type="containsText" dxfId="50" priority="3" operator="containsText" text="ERRORE">
      <formula>NOT(ISERROR(SEARCH("ERRORE",L81)))</formula>
    </cfRule>
  </conditionalFormatting>
  <conditionalFormatting sqref="O83">
    <cfRule type="containsText" dxfId="49" priority="2" operator="containsText" text="ERRORE">
      <formula>NOT(ISERROR(SEARCH("ERRORE",O83)))</formula>
    </cfRule>
  </conditionalFormatting>
  <conditionalFormatting sqref="O81:O82">
    <cfRule type="containsText" dxfId="48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E1" zoomScale="70" zoomScaleNormal="70" zoomScalePageLayoutView="70" workbookViewId="0">
      <selection activeCell="G83" sqref="G83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111</v>
      </c>
      <c r="B1" s="2" t="str">
        <f>"       PEF 2022 - 2025"&amp;" - "&amp;A1</f>
        <v xml:space="preserve">       PEF 2022 - 2025 - Spinea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136</v>
      </c>
      <c r="E4" s="188"/>
      <c r="F4" s="189"/>
      <c r="G4" s="187" t="str">
        <f>D4</f>
        <v>Ambito tariffario: Spinea</v>
      </c>
      <c r="H4" s="188"/>
      <c r="I4" s="189"/>
      <c r="J4" s="187" t="str">
        <f>D4</f>
        <v>Ambito tariffario: Spinea</v>
      </c>
      <c r="K4" s="188"/>
      <c r="L4" s="189"/>
      <c r="M4" s="187" t="str">
        <f>D4</f>
        <v>Ambito tariffario: Spinea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296481.32467524812</v>
      </c>
      <c r="E6" s="22">
        <v>0</v>
      </c>
      <c r="F6" s="23">
        <f>D6+E6</f>
        <v>296481.32467524812</v>
      </c>
      <c r="G6" s="22">
        <v>306696.23313698592</v>
      </c>
      <c r="H6" s="22">
        <v>0</v>
      </c>
      <c r="I6" s="23">
        <f>G6+H6</f>
        <v>306696.23313698592</v>
      </c>
      <c r="J6" s="22">
        <v>306696.23313698592</v>
      </c>
      <c r="K6" s="22">
        <v>0</v>
      </c>
      <c r="L6" s="23">
        <f>J6+K6</f>
        <v>306696.23313698592</v>
      </c>
      <c r="M6" s="22">
        <v>306696.23313698592</v>
      </c>
      <c r="N6" s="22">
        <v>0</v>
      </c>
      <c r="O6" s="23">
        <f>M6+N6</f>
        <v>306696.23313698592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379504.46488708374</v>
      </c>
      <c r="E7" s="22">
        <v>0</v>
      </c>
      <c r="F7" s="23">
        <f t="shared" ref="F7:F20" si="0">D7+E7</f>
        <v>379504.46488708374</v>
      </c>
      <c r="G7" s="22">
        <v>397258.25011987454</v>
      </c>
      <c r="H7" s="22">
        <v>0</v>
      </c>
      <c r="I7" s="23">
        <f t="shared" ref="I7:I13" si="1">G7+H7</f>
        <v>397258.25011987454</v>
      </c>
      <c r="J7" s="22">
        <v>397258.25011987454</v>
      </c>
      <c r="K7" s="22">
        <v>0</v>
      </c>
      <c r="L7" s="23">
        <f t="shared" ref="L7:L12" si="2">J7+K7</f>
        <v>397258.25011987454</v>
      </c>
      <c r="M7" s="22">
        <v>397258.25011987454</v>
      </c>
      <c r="N7" s="22">
        <v>0</v>
      </c>
      <c r="O7" s="23">
        <f t="shared" ref="O7:O13" si="3">M7+N7</f>
        <v>397258.25011987454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658958.12330941192</v>
      </c>
      <c r="E8" s="22">
        <v>0</v>
      </c>
      <c r="F8" s="23">
        <f t="shared" si="0"/>
        <v>658958.12330941192</v>
      </c>
      <c r="G8" s="22">
        <v>689801.32833221625</v>
      </c>
      <c r="H8" s="22">
        <v>0</v>
      </c>
      <c r="I8" s="23">
        <f t="shared" si="1"/>
        <v>689801.32833221625</v>
      </c>
      <c r="J8" s="22">
        <v>689801.32833221625</v>
      </c>
      <c r="K8" s="22">
        <v>0</v>
      </c>
      <c r="L8" s="23">
        <f t="shared" si="2"/>
        <v>689801.32833221625</v>
      </c>
      <c r="M8" s="22">
        <v>689801.32833221625</v>
      </c>
      <c r="N8" s="22">
        <v>0</v>
      </c>
      <c r="O8" s="23">
        <f t="shared" si="3"/>
        <v>689801.32833221625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672271.87354058656</v>
      </c>
      <c r="E9" s="22">
        <v>0</v>
      </c>
      <c r="F9" s="23">
        <f t="shared" si="0"/>
        <v>672271.87354058656</v>
      </c>
      <c r="G9" s="22">
        <v>691259.38540772232</v>
      </c>
      <c r="H9" s="22">
        <v>0</v>
      </c>
      <c r="I9" s="23">
        <f t="shared" si="1"/>
        <v>691259.38540772232</v>
      </c>
      <c r="J9" s="22">
        <v>691259.38540772232</v>
      </c>
      <c r="K9" s="22">
        <v>0</v>
      </c>
      <c r="L9" s="23">
        <f t="shared" si="2"/>
        <v>691259.38540772232</v>
      </c>
      <c r="M9" s="22">
        <v>691259.38540772232</v>
      </c>
      <c r="N9" s="22">
        <v>0</v>
      </c>
      <c r="O9" s="23">
        <f t="shared" si="3"/>
        <v>691259.38540772232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11027.221732709515</v>
      </c>
      <c r="E11" s="22">
        <v>0</v>
      </c>
      <c r="F11" s="23">
        <f t="shared" si="0"/>
        <v>11027.221732709515</v>
      </c>
      <c r="G11" s="22">
        <v>11027.221732709515</v>
      </c>
      <c r="H11" s="22">
        <v>0</v>
      </c>
      <c r="I11" s="23">
        <f t="shared" si="1"/>
        <v>11027.221732709515</v>
      </c>
      <c r="J11" s="22">
        <v>11027.221732709515</v>
      </c>
      <c r="K11" s="22">
        <v>0</v>
      </c>
      <c r="L11" s="23">
        <f t="shared" si="2"/>
        <v>11027.221732709515</v>
      </c>
      <c r="M11" s="22">
        <v>11027.221732709515</v>
      </c>
      <c r="N11" s="22">
        <v>0</v>
      </c>
      <c r="O11" s="23">
        <f t="shared" si="3"/>
        <v>11027.221732709515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188666.96328860833</v>
      </c>
      <c r="E13" s="22">
        <v>0</v>
      </c>
      <c r="F13" s="23">
        <f t="shared" si="0"/>
        <v>188666.96328860833</v>
      </c>
      <c r="G13" s="22">
        <v>188478.48480380455</v>
      </c>
      <c r="H13" s="22">
        <v>0</v>
      </c>
      <c r="I13" s="23">
        <f t="shared" si="1"/>
        <v>188478.48480380455</v>
      </c>
      <c r="J13" s="22">
        <v>188478.48480380455</v>
      </c>
      <c r="K13" s="22">
        <v>0</v>
      </c>
      <c r="L13" s="23">
        <f>J13+K13</f>
        <v>188478.48480380455</v>
      </c>
      <c r="M13" s="22">
        <v>188478.48480380455</v>
      </c>
      <c r="N13" s="22">
        <v>0</v>
      </c>
      <c r="O13" s="23">
        <f t="shared" si="3"/>
        <v>188478.48480380455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113200.17797316499</v>
      </c>
      <c r="E15" s="22">
        <v>0</v>
      </c>
      <c r="F15" s="23">
        <f t="shared" si="0"/>
        <v>113200.17797316499</v>
      </c>
      <c r="G15" s="22">
        <v>113087.09088228272</v>
      </c>
      <c r="H15" s="22">
        <v>0</v>
      </c>
      <c r="I15" s="23">
        <f t="shared" ref="I15:I16" si="4">G15+H15</f>
        <v>113087.09088228272</v>
      </c>
      <c r="J15" s="22">
        <v>113087.09088228272</v>
      </c>
      <c r="K15" s="22">
        <v>0</v>
      </c>
      <c r="L15" s="23">
        <f t="shared" ref="L15:L16" si="5">J15+K15</f>
        <v>113087.09088228272</v>
      </c>
      <c r="M15" s="22">
        <v>113087.09088228272</v>
      </c>
      <c r="N15" s="22">
        <v>0</v>
      </c>
      <c r="O15" s="23">
        <f t="shared" ref="O15:O16" si="6">M15+N15</f>
        <v>113087.09088228272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3853.4432933848766</v>
      </c>
      <c r="E16" s="22">
        <v>0</v>
      </c>
      <c r="F16" s="23">
        <f t="shared" si="0"/>
        <v>3853.4432933848766</v>
      </c>
      <c r="G16" s="22">
        <v>3849.593699685192</v>
      </c>
      <c r="H16" s="22">
        <v>0</v>
      </c>
      <c r="I16" s="23">
        <f t="shared" si="4"/>
        <v>3849.593699685192</v>
      </c>
      <c r="J16" s="22">
        <v>3849.593699685192</v>
      </c>
      <c r="K16" s="22">
        <v>0</v>
      </c>
      <c r="L16" s="23">
        <f t="shared" si="5"/>
        <v>3849.593699685192</v>
      </c>
      <c r="M16" s="22">
        <v>3849.593699685192</v>
      </c>
      <c r="N16" s="22">
        <v>0</v>
      </c>
      <c r="O16" s="23">
        <f t="shared" si="6"/>
        <v>3849.593699685192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0.2</v>
      </c>
      <c r="E17" s="29">
        <v>0.2</v>
      </c>
      <c r="F17" s="30">
        <f>D17</f>
        <v>0.2</v>
      </c>
      <c r="G17" s="29">
        <v>0.2</v>
      </c>
      <c r="H17" s="29">
        <v>0.2</v>
      </c>
      <c r="I17" s="30">
        <f>G17</f>
        <v>0.2</v>
      </c>
      <c r="J17" s="29">
        <v>0.2</v>
      </c>
      <c r="K17" s="29">
        <v>0.2</v>
      </c>
      <c r="L17" s="30">
        <v>0.2</v>
      </c>
      <c r="M17" s="29">
        <v>0.2</v>
      </c>
      <c r="N17" s="29">
        <v>0.2</v>
      </c>
      <c r="O17" s="30">
        <f>N17</f>
        <v>0.2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0.72</v>
      </c>
      <c r="E18" s="29">
        <v>0.72</v>
      </c>
      <c r="F18" s="31">
        <f>IF(D18=E18,D18,"n.d.")</f>
        <v>0.72</v>
      </c>
      <c r="G18" s="29">
        <v>0.72</v>
      </c>
      <c r="H18" s="29">
        <v>0.72</v>
      </c>
      <c r="I18" s="31">
        <f>IF(G18=H18,G18,"n.d.")</f>
        <v>0.72</v>
      </c>
      <c r="J18" s="29">
        <v>0.72</v>
      </c>
      <c r="K18" s="29">
        <v>0.72</v>
      </c>
      <c r="L18" s="31">
        <f>IF(J18=K18,J18,"n.d.")</f>
        <v>0.72</v>
      </c>
      <c r="M18" s="29">
        <v>0.72</v>
      </c>
      <c r="N18" s="29">
        <v>0.72</v>
      </c>
      <c r="O18" s="31">
        <f>IF(M18=N18,M18,"n.d.")</f>
        <v>0.72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2774.4791712371111</v>
      </c>
      <c r="E19" s="22">
        <v>0</v>
      </c>
      <c r="F19" s="23">
        <f t="shared" si="0"/>
        <v>2774.4791712371111</v>
      </c>
      <c r="G19" s="22">
        <v>2771.7074637733381</v>
      </c>
      <c r="H19" s="22">
        <v>0</v>
      </c>
      <c r="I19" s="23">
        <f t="shared" ref="I19:I20" si="7">G19+H19</f>
        <v>2771.7074637733381</v>
      </c>
      <c r="J19" s="22">
        <v>2771.7074637733381</v>
      </c>
      <c r="K19" s="22">
        <v>0</v>
      </c>
      <c r="L19" s="23">
        <f t="shared" ref="L19:L20" si="8">J19+K19</f>
        <v>2771.7074637733381</v>
      </c>
      <c r="M19" s="32">
        <v>2771.7074637733381</v>
      </c>
      <c r="N19" s="33">
        <v>0</v>
      </c>
      <c r="O19" s="23">
        <f t="shared" ref="O19:O20" si="9">M19+N19</f>
        <v>2771.7074637733381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41240.631052085897</v>
      </c>
      <c r="E20" s="22">
        <v>0</v>
      </c>
      <c r="F20" s="23">
        <f t="shared" si="0"/>
        <v>41240.631052085897</v>
      </c>
      <c r="G20" s="22">
        <v>30282.20075110445</v>
      </c>
      <c r="H20" s="22">
        <v>0</v>
      </c>
      <c r="I20" s="23">
        <f t="shared" si="7"/>
        <v>30282.20075110445</v>
      </c>
      <c r="J20" s="22">
        <v>2030.3208749999903</v>
      </c>
      <c r="K20" s="22">
        <v>0</v>
      </c>
      <c r="L20" s="23">
        <f t="shared" si="8"/>
        <v>2030.3208749999903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194350.89820527239</v>
      </c>
      <c r="F21" s="23">
        <f>E21</f>
        <v>194350.89820527239</v>
      </c>
      <c r="G21" s="34"/>
      <c r="H21" s="22">
        <f>G23*0.1</f>
        <v>201046.58211345569</v>
      </c>
      <c r="I21" s="23">
        <f>H21</f>
        <v>201046.58211345569</v>
      </c>
      <c r="J21" s="34"/>
      <c r="K21" s="22">
        <f>J23*0.1</f>
        <v>198221.39412584525</v>
      </c>
      <c r="L21" s="23">
        <f>K21</f>
        <v>198221.39412584525</v>
      </c>
      <c r="M21" s="34"/>
      <c r="N21" s="22">
        <f>M23*0.1</f>
        <v>198018.36203834525</v>
      </c>
      <c r="O21" s="23">
        <f>N21</f>
        <v>198018.36203834525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1943508.9820527236</v>
      </c>
      <c r="E23" s="38">
        <f>E6+E7+E8+E9+E10+E11+E12-E15-E19+E20+E21</f>
        <v>194350.89820527239</v>
      </c>
      <c r="F23" s="38">
        <f>D23+E23</f>
        <v>2137859.8802579958</v>
      </c>
      <c r="G23" s="38">
        <f>G6+G7+G8+G9+G10+G11+G12-G15-G19+G20+G22</f>
        <v>2010465.8211345568</v>
      </c>
      <c r="H23" s="38">
        <f>H6+H7+H8+H9+H10+H11+H12-H15-H19+H20+H21+H22</f>
        <v>201046.58211345569</v>
      </c>
      <c r="I23" s="38">
        <f>G23+H23</f>
        <v>2211512.4032480125</v>
      </c>
      <c r="J23" s="38">
        <f>J6+J7+J8+J9+J10+J11+J12-J15-J19+J20+J22</f>
        <v>1982213.9412584524</v>
      </c>
      <c r="K23" s="38">
        <f>K6+K7+K8+K9+K10+K11+K12-K15-K19+K20+K21+K22</f>
        <v>198221.39412584525</v>
      </c>
      <c r="L23" s="38">
        <f>J23+K23</f>
        <v>2180435.3353842977</v>
      </c>
      <c r="M23" s="38">
        <f>M6+M7+M8+M9+M10+M11+M12-M15-M19+M20+M22</f>
        <v>1980183.6203834524</v>
      </c>
      <c r="N23" s="38">
        <f>N6+N7+N8+N9+N10+N11+N12-N15-N19+N20+N21+N22</f>
        <v>198018.36203834525</v>
      </c>
      <c r="O23" s="38">
        <f>M23+N23</f>
        <v>2178201.9824217977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351638.35674046032</v>
      </c>
      <c r="E25" s="44">
        <v>0</v>
      </c>
      <c r="F25" s="45">
        <f t="shared" ref="F25:F44" si="13">D25+E25</f>
        <v>351638.35674046032</v>
      </c>
      <c r="G25" s="44">
        <v>367552.45473593654</v>
      </c>
      <c r="H25" s="44">
        <v>0</v>
      </c>
      <c r="I25" s="45">
        <f t="shared" ref="I25:I33" si="14">G25+H25</f>
        <v>367552.45473593654</v>
      </c>
      <c r="J25" s="44">
        <v>367552.45473593654</v>
      </c>
      <c r="K25" s="44">
        <v>0</v>
      </c>
      <c r="L25" s="45">
        <f t="shared" ref="L25:L44" si="15">J25+K25</f>
        <v>367552.45473593654</v>
      </c>
      <c r="M25" s="44">
        <v>367552.45473593654</v>
      </c>
      <c r="N25" s="44">
        <v>0</v>
      </c>
      <c r="O25" s="45">
        <f t="shared" ref="O25:O43" si="16">M25+N25</f>
        <v>367552.45473593654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117141.87200524988</v>
      </c>
      <c r="E26" s="22">
        <v>0</v>
      </c>
      <c r="F26" s="36">
        <f t="shared" si="13"/>
        <v>117141.87200524988</v>
      </c>
      <c r="G26" s="22">
        <v>120573.45032792159</v>
      </c>
      <c r="H26" s="22">
        <v>0</v>
      </c>
      <c r="I26" s="36">
        <f t="shared" si="14"/>
        <v>120573.45032792159</v>
      </c>
      <c r="J26" s="22">
        <v>120573.45032792159</v>
      </c>
      <c r="K26" s="22">
        <v>0</v>
      </c>
      <c r="L26" s="36">
        <f t="shared" si="15"/>
        <v>120573.45032792159</v>
      </c>
      <c r="M26" s="22">
        <v>120573.45032792159</v>
      </c>
      <c r="N26" s="22">
        <v>0</v>
      </c>
      <c r="O26" s="36">
        <f t="shared" si="16"/>
        <v>120573.45032792159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272508.63727689016</v>
      </c>
      <c r="E27" s="47">
        <v>5646.0341647709984</v>
      </c>
      <c r="F27" s="48">
        <f t="shared" si="13"/>
        <v>278154.67144166114</v>
      </c>
      <c r="G27" s="47">
        <v>283001.96009437722</v>
      </c>
      <c r="H27" s="47">
        <v>7660.5986160000002</v>
      </c>
      <c r="I27" s="48">
        <f t="shared" si="14"/>
        <v>290662.5587103772</v>
      </c>
      <c r="J27" s="47">
        <v>283001.96009437722</v>
      </c>
      <c r="K27" s="47">
        <v>7660.5986160000002</v>
      </c>
      <c r="L27" s="48">
        <f t="shared" si="15"/>
        <v>290662.5587103772</v>
      </c>
      <c r="M27" s="47">
        <v>283001.96009437722</v>
      </c>
      <c r="N27" s="47">
        <v>7660.5986160000002</v>
      </c>
      <c r="O27" s="48">
        <f t="shared" si="16"/>
        <v>290662.5587103772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32019.142007745297</v>
      </c>
      <c r="E29" s="47">
        <v>16117.2</v>
      </c>
      <c r="F29" s="48">
        <f t="shared" si="13"/>
        <v>48136.342007745297</v>
      </c>
      <c r="G29" s="47">
        <v>32249.172593309821</v>
      </c>
      <c r="H29" s="47">
        <v>16117.2</v>
      </c>
      <c r="I29" s="48">
        <f t="shared" si="14"/>
        <v>48366.372593309818</v>
      </c>
      <c r="J29" s="47">
        <v>32249.172593309821</v>
      </c>
      <c r="K29" s="47">
        <v>16117.2</v>
      </c>
      <c r="L29" s="48">
        <f t="shared" si="15"/>
        <v>48366.372593309818</v>
      </c>
      <c r="M29" s="47">
        <v>32249.172593309821</v>
      </c>
      <c r="N29" s="47">
        <v>16117.2</v>
      </c>
      <c r="O29" s="48">
        <f t="shared" si="16"/>
        <v>48366.372593309818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421669.65128988534</v>
      </c>
      <c r="E30" s="51">
        <f>+E26+E27+E28+E29</f>
        <v>21763.234164770998</v>
      </c>
      <c r="F30" s="52">
        <f t="shared" si="13"/>
        <v>443432.88545465632</v>
      </c>
      <c r="G30" s="51">
        <f>+G26+G27+G28+G29</f>
        <v>435824.58301560866</v>
      </c>
      <c r="H30" s="51">
        <f>+H26+H27+H28+H29</f>
        <v>23777.798616</v>
      </c>
      <c r="I30" s="52">
        <f t="shared" si="14"/>
        <v>459602.38163160864</v>
      </c>
      <c r="J30" s="51">
        <f>+J26+J27+J28+J29</f>
        <v>435824.58301560866</v>
      </c>
      <c r="K30" s="51">
        <f>+K26+K27+K28+K29</f>
        <v>23777.798616</v>
      </c>
      <c r="L30" s="52">
        <f t="shared" si="15"/>
        <v>459602.38163160864</v>
      </c>
      <c r="M30" s="51">
        <f>+M26+M27+M28+M29</f>
        <v>435824.58301560866</v>
      </c>
      <c r="N30" s="51">
        <f>+N26+N27+N28+N29</f>
        <v>23777.798616</v>
      </c>
      <c r="O30" s="52">
        <f t="shared" si="16"/>
        <v>459602.38163160864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180481.13596643484</v>
      </c>
      <c r="E31" s="53">
        <v>0</v>
      </c>
      <c r="F31" s="48">
        <f t="shared" si="13"/>
        <v>180481.13596643484</v>
      </c>
      <c r="G31" s="147">
        <f>VLOOKUP($A$1,REM_ToolEnrico!$B$5:$J$38,4,FALSE)</f>
        <v>160772.70785979251</v>
      </c>
      <c r="H31" s="53">
        <v>0</v>
      </c>
      <c r="I31" s="48">
        <f t="shared" si="14"/>
        <v>160772.70785979251</v>
      </c>
      <c r="J31" s="147">
        <f>VLOOKUP($A$1,REM_ToolEnrico!$B$5:$J$38,6,FALSE)</f>
        <v>173111.36552705435</v>
      </c>
      <c r="K31" s="53">
        <v>0</v>
      </c>
      <c r="L31" s="48">
        <f t="shared" si="15"/>
        <v>173111.36552705435</v>
      </c>
      <c r="M31" s="147">
        <f>VLOOKUP($A$1,REM_ToolEnrico!$B$5:$J$38,8,FALSE)</f>
        <v>174532.4266849072</v>
      </c>
      <c r="N31" s="53">
        <v>0</v>
      </c>
      <c r="O31" s="48">
        <f t="shared" si="16"/>
        <v>174532.4266849072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149999.99999999997</v>
      </c>
      <c r="F32" s="48">
        <f t="shared" si="13"/>
        <v>149999.99999999997</v>
      </c>
      <c r="G32" s="54">
        <f>+G33+G34+G35+G36</f>
        <v>0</v>
      </c>
      <c r="H32" s="54">
        <f>+H33+H34+H35+H36</f>
        <v>150000</v>
      </c>
      <c r="I32" s="48">
        <f t="shared" si="14"/>
        <v>150000</v>
      </c>
      <c r="J32" s="54">
        <f>+J33+J34+J35+J36</f>
        <v>0</v>
      </c>
      <c r="K32" s="54">
        <f>+K33+K34+K35+K36</f>
        <v>150000</v>
      </c>
      <c r="L32" s="48">
        <f t="shared" si="15"/>
        <v>150000</v>
      </c>
      <c r="M32" s="54">
        <f>+M33+M34+M35+M36</f>
        <v>0</v>
      </c>
      <c r="N32" s="54">
        <f>+N33+N34+N35+N36</f>
        <v>150000</v>
      </c>
      <c r="O32" s="48">
        <f t="shared" si="16"/>
        <v>150000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149999.99999999997</v>
      </c>
      <c r="F34" s="48">
        <f>D34+E34</f>
        <v>149999.99999999997</v>
      </c>
      <c r="G34" s="47">
        <v>0</v>
      </c>
      <c r="H34" s="47">
        <v>150000</v>
      </c>
      <c r="I34" s="48">
        <f>G34+H34</f>
        <v>150000</v>
      </c>
      <c r="J34" s="47">
        <v>0</v>
      </c>
      <c r="K34" s="158">
        <v>150000</v>
      </c>
      <c r="L34" s="48">
        <f t="shared" si="15"/>
        <v>150000</v>
      </c>
      <c r="M34" s="47">
        <v>0</v>
      </c>
      <c r="N34" s="158">
        <v>150000</v>
      </c>
      <c r="O34" s="48">
        <f t="shared" si="16"/>
        <v>150000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90016.488722745649</v>
      </c>
      <c r="E37" s="47">
        <v>0</v>
      </c>
      <c r="F37" s="48">
        <f t="shared" si="13"/>
        <v>90016.488722745649</v>
      </c>
      <c r="G37" s="147">
        <f>VLOOKUP($A$1,REM_ToolEnrico!$B$5:$J$38,5,FALSE)</f>
        <v>92639.587257247462</v>
      </c>
      <c r="H37" s="47">
        <v>0</v>
      </c>
      <c r="I37" s="48">
        <f t="shared" si="17"/>
        <v>92639.587257247462</v>
      </c>
      <c r="J37" s="147">
        <f>VLOOKUP($A$1,REM_ToolEnrico!$B$5:$J$38,7,FALSE)</f>
        <v>95859.022329901272</v>
      </c>
      <c r="K37" s="47">
        <v>0</v>
      </c>
      <c r="L37" s="48">
        <f t="shared" si="15"/>
        <v>95859.022329901272</v>
      </c>
      <c r="M37" s="147">
        <f>VLOOKUP($A$1,REM_ToolEnrico!$B$5:$J$38,9,FALSE)</f>
        <v>96210.009837214922</v>
      </c>
      <c r="N37" s="47">
        <v>0</v>
      </c>
      <c r="O37" s="48">
        <f t="shared" si="16"/>
        <v>96210.009837214922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1156.9996912197214</v>
      </c>
      <c r="E38" s="47">
        <v>0</v>
      </c>
      <c r="F38" s="48">
        <f t="shared" si="13"/>
        <v>1156.9996912197214</v>
      </c>
      <c r="G38" s="47">
        <v>1159.3136906021607</v>
      </c>
      <c r="H38" s="47">
        <v>0</v>
      </c>
      <c r="I38" s="48">
        <f t="shared" si="17"/>
        <v>1159.3136906021607</v>
      </c>
      <c r="J38" s="47">
        <v>1159.3136906021607</v>
      </c>
      <c r="K38" s="47">
        <v>0</v>
      </c>
      <c r="L38" s="48">
        <f t="shared" si="15"/>
        <v>1159.3136906021607</v>
      </c>
      <c r="M38" s="47">
        <v>1159.3136906021607</v>
      </c>
      <c r="N38" s="47">
        <v>0</v>
      </c>
      <c r="O38" s="48">
        <f t="shared" si="16"/>
        <v>1159.3136906021607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271654.62438040023</v>
      </c>
      <c r="E40" s="51">
        <f>E38+E37+E32+E31+E39</f>
        <v>149999.99999999997</v>
      </c>
      <c r="F40" s="52">
        <f t="shared" si="13"/>
        <v>421654.62438040017</v>
      </c>
      <c r="G40" s="51">
        <f>G38+G37+G32+G31+G39</f>
        <v>254571.60880764213</v>
      </c>
      <c r="H40" s="51">
        <f>H38+H37+H32+H31+H39</f>
        <v>150000</v>
      </c>
      <c r="I40" s="52">
        <f t="shared" si="17"/>
        <v>404571.60880764213</v>
      </c>
      <c r="J40" s="51">
        <f>J38+J37+J32+J31+J39</f>
        <v>270129.70154755778</v>
      </c>
      <c r="K40" s="51">
        <f>K38+K37+K32+K31+K39</f>
        <v>150000</v>
      </c>
      <c r="L40" s="52">
        <f t="shared" si="15"/>
        <v>420129.70154755778</v>
      </c>
      <c r="M40" s="51">
        <f>M38+M37+M32+M31+M39</f>
        <v>271901.75021272426</v>
      </c>
      <c r="N40" s="51">
        <f>N38+N37+N32+N31+N39</f>
        <v>150000</v>
      </c>
      <c r="O40" s="52">
        <f t="shared" si="16"/>
        <v>421901.75021272426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18290.485113987514</v>
      </c>
      <c r="E42" s="22">
        <v>0</v>
      </c>
      <c r="F42" s="36">
        <f t="shared" si="13"/>
        <v>18290.485113987514</v>
      </c>
      <c r="G42" s="22">
        <v>34463.743655294798</v>
      </c>
      <c r="H42" s="22">
        <v>0</v>
      </c>
      <c r="I42" s="36">
        <f t="shared" si="17"/>
        <v>34463.743655294798</v>
      </c>
      <c r="J42" s="22">
        <v>34463.743655294798</v>
      </c>
      <c r="K42" s="22">
        <v>0</v>
      </c>
      <c r="L42" s="36">
        <f t="shared" si="15"/>
        <v>34463.743655294798</v>
      </c>
      <c r="M42" s="22">
        <v>34463.743655294798</v>
      </c>
      <c r="N42" s="22">
        <v>0</v>
      </c>
      <c r="O42" s="36">
        <f t="shared" si="16"/>
        <v>34463.743655294798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0</v>
      </c>
      <c r="E44" s="57">
        <v>0</v>
      </c>
      <c r="F44" s="36">
        <f t="shared" si="13"/>
        <v>0</v>
      </c>
      <c r="G44" s="57">
        <v>0</v>
      </c>
      <c r="H44" s="57">
        <v>0</v>
      </c>
      <c r="I44" s="36">
        <f t="shared" si="17"/>
        <v>0</v>
      </c>
      <c r="J44" s="57">
        <v>0</v>
      </c>
      <c r="K44" s="57">
        <v>0</v>
      </c>
      <c r="L44" s="36">
        <f t="shared" si="15"/>
        <v>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106325.31175247334</v>
      </c>
      <c r="F45" s="36">
        <f>E45</f>
        <v>106325.31175247334</v>
      </c>
      <c r="G45" s="34"/>
      <c r="H45" s="22">
        <f>G47*0.1</f>
        <v>109241.23902144821</v>
      </c>
      <c r="I45" s="36">
        <f>H45</f>
        <v>109241.23902144821</v>
      </c>
      <c r="J45" s="34"/>
      <c r="K45" s="22">
        <f>J47*0.1</f>
        <v>110797.04829543979</v>
      </c>
      <c r="L45" s="36">
        <f>K45</f>
        <v>110797.04829543979</v>
      </c>
      <c r="M45" s="34"/>
      <c r="N45" s="22">
        <f>M47*0.1</f>
        <v>110974.25316195644</v>
      </c>
      <c r="O45" s="36">
        <f>N45</f>
        <v>110974.25316195644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1063253.1175247333</v>
      </c>
      <c r="E47" s="59">
        <f>E25+E30+E40+E41+E42+E43+E44+E45</f>
        <v>278088.54591724434</v>
      </c>
      <c r="F47" s="60">
        <f>D47+E47</f>
        <v>1341341.6634419777</v>
      </c>
      <c r="G47" s="59">
        <f>G25+G30+G40+G41+G42+G43+G44+G46</f>
        <v>1092412.3902144821</v>
      </c>
      <c r="H47" s="59">
        <f>H25+H30+H40+H41+H42+H43+H44+H45+H46</f>
        <v>283019.03763744817</v>
      </c>
      <c r="I47" s="60">
        <f>G47+H47</f>
        <v>1375431.4278519303</v>
      </c>
      <c r="J47" s="59">
        <f>J25+J30+J40+J41+J42+J43+J44+J46</f>
        <v>1107970.4829543978</v>
      </c>
      <c r="K47" s="59">
        <f>K25+K30+K40+K41+K42+K43+K44+K45+K46</f>
        <v>284574.84691143979</v>
      </c>
      <c r="L47" s="60">
        <f>J47+K47</f>
        <v>1392545.3298658375</v>
      </c>
      <c r="M47" s="59">
        <f>M25+M30+M40+M41+M42+M43+M44+M46</f>
        <v>1109742.5316195644</v>
      </c>
      <c r="N47" s="59">
        <f>N25+N30+N40+N41+N42+N43+N44+N45+N46</f>
        <v>284752.05177795643</v>
      </c>
      <c r="O47" s="60">
        <f>M47+N47</f>
        <v>1394494.5833975207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3010860.3743017786</v>
      </c>
      <c r="E49" s="65">
        <v>547383.18830261612</v>
      </c>
      <c r="F49" s="65">
        <f>D49+E49</f>
        <v>3558243.5626043947</v>
      </c>
      <c r="G49" s="65">
        <f>G50</f>
        <v>3102878.2113490389</v>
      </c>
      <c r="H49" s="65">
        <v>559009.36393100326</v>
      </c>
      <c r="I49" s="65">
        <f t="shared" ref="I49" si="21">G49+H49</f>
        <v>3661887.5752800424</v>
      </c>
      <c r="J49" s="65">
        <f>J50</f>
        <v>3090184.4242128502</v>
      </c>
      <c r="K49" s="65">
        <v>503984.90520152886</v>
      </c>
      <c r="L49" s="65">
        <f t="shared" ref="L49" si="22">J49+K49</f>
        <v>3594169.3294143789</v>
      </c>
      <c r="M49" s="65">
        <f>M50</f>
        <v>3089926.1520030168</v>
      </c>
      <c r="N49" s="65">
        <v>484065.61975090392</v>
      </c>
      <c r="O49" s="65">
        <f t="shared" ref="O49" si="23">M49+N49</f>
        <v>3573991.7717539207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3006762.0995774567</v>
      </c>
      <c r="E50" s="59">
        <f t="shared" si="24"/>
        <v>472439.44412251672</v>
      </c>
      <c r="F50" s="59">
        <f t="shared" si="24"/>
        <v>3479201.5436999733</v>
      </c>
      <c r="G50" s="59">
        <f>+G23+G47</f>
        <v>3102878.2113490389</v>
      </c>
      <c r="H50" s="59">
        <f t="shared" si="24"/>
        <v>484065.61975090386</v>
      </c>
      <c r="I50" s="59">
        <f t="shared" si="24"/>
        <v>3586943.8310999428</v>
      </c>
      <c r="J50" s="59">
        <f t="shared" si="24"/>
        <v>3090184.4242128502</v>
      </c>
      <c r="K50" s="59">
        <f>+K23+K47</f>
        <v>482796.24103728507</v>
      </c>
      <c r="L50" s="59">
        <f t="shared" si="24"/>
        <v>3572980.6652501351</v>
      </c>
      <c r="M50" s="59">
        <f>+M23+M47</f>
        <v>3089926.1520030168</v>
      </c>
      <c r="N50" s="59">
        <f t="shared" si="24"/>
        <v>482770.41381630168</v>
      </c>
      <c r="O50" s="59">
        <f t="shared" si="24"/>
        <v>3572696.5658193184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41240.631052085897</v>
      </c>
      <c r="E51" s="68">
        <f>E44+E20</f>
        <v>0</v>
      </c>
      <c r="F51" s="146"/>
      <c r="G51" s="68">
        <f>G44+G20</f>
        <v>30282.20075110445</v>
      </c>
      <c r="H51" s="68">
        <f>H44+H20</f>
        <v>0</v>
      </c>
      <c r="I51" s="146"/>
      <c r="J51" s="68">
        <f>J44+J20</f>
        <v>2030.3208749999903</v>
      </c>
      <c r="K51" s="68">
        <f>K44+K20</f>
        <v>0</v>
      </c>
      <c r="L51" s="146"/>
      <c r="M51" s="68">
        <f>M44+M20</f>
        <v>0</v>
      </c>
      <c r="N51" s="68">
        <f>N44+N20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0.84119999999999995</v>
      </c>
      <c r="G53" s="72"/>
      <c r="H53" s="73"/>
      <c r="I53" s="74">
        <v>0.84119999999999995</v>
      </c>
      <c r="J53" s="72"/>
      <c r="K53" s="73"/>
      <c r="L53" s="74">
        <v>0.84119999999999995</v>
      </c>
      <c r="M53" s="72"/>
      <c r="N53" s="73"/>
      <c r="O53" s="74">
        <v>0.84119999999999995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12910.700999999999</v>
      </c>
      <c r="G54" s="34"/>
      <c r="H54" s="76"/>
      <c r="I54" s="77">
        <v>12910.700999999999</v>
      </c>
      <c r="J54" s="34"/>
      <c r="K54" s="76"/>
      <c r="L54" s="77">
        <v>12910.700999999999</v>
      </c>
      <c r="M54" s="34"/>
      <c r="N54" s="76"/>
      <c r="O54" s="77">
        <v>12910.700999999999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29.687442270351202</v>
      </c>
      <c r="G55" s="34"/>
      <c r="H55" s="76"/>
      <c r="I55" s="78">
        <v>26.022329381550943</v>
      </c>
      <c r="J55" s="34"/>
      <c r="K55" s="76"/>
      <c r="L55" s="78">
        <v>26.901776782684504</v>
      </c>
      <c r="M55" s="34"/>
      <c r="N55" s="76"/>
      <c r="O55" s="78">
        <v>27.681638059718505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32.6633469712772</v>
      </c>
      <c r="G56" s="81"/>
      <c r="H56" s="82"/>
      <c r="I56" s="78">
        <v>32.6633469712772</v>
      </c>
      <c r="J56" s="81"/>
      <c r="K56" s="82"/>
      <c r="L56" s="78">
        <v>32.6633469712772</v>
      </c>
      <c r="M56" s="81"/>
      <c r="N56" s="82"/>
      <c r="O56" s="78">
        <v>32.6633469712772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-0.21473355860765408</v>
      </c>
      <c r="G60" s="90"/>
      <c r="H60" s="76"/>
      <c r="I60" s="89">
        <v>-0.21473355860765408</v>
      </c>
      <c r="J60" s="34"/>
      <c r="K60" s="91"/>
      <c r="L60" s="89">
        <v>-0.21473355860765408</v>
      </c>
      <c r="M60" s="34"/>
      <c r="N60" s="76"/>
      <c r="O60" s="89">
        <v>-0.21473355860765408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-0.21473355860765408</v>
      </c>
      <c r="G61" s="90"/>
      <c r="H61" s="76"/>
      <c r="I61" s="92">
        <v>-0.21473355860765408</v>
      </c>
      <c r="J61" s="34"/>
      <c r="K61" s="76"/>
      <c r="L61" s="93">
        <v>-0.21473355860765408</v>
      </c>
      <c r="M61" s="34"/>
      <c r="N61" s="76"/>
      <c r="O61" s="92">
        <v>-0.21473355860765408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0.78526644139234592</v>
      </c>
      <c r="G62" s="95"/>
      <c r="H62" s="82"/>
      <c r="I62" s="94">
        <v>0.78526644139234592</v>
      </c>
      <c r="J62" s="81"/>
      <c r="K62" s="82"/>
      <c r="L62" s="94">
        <v>0.78526644139234592</v>
      </c>
      <c r="M62" s="81"/>
      <c r="N62" s="82"/>
      <c r="O62" s="94">
        <v>0.78526644139234592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1.00000001E-3</v>
      </c>
      <c r="G66" s="34"/>
      <c r="H66" s="76"/>
      <c r="I66" s="104">
        <v>1.00000001E-3</v>
      </c>
      <c r="J66" s="34"/>
      <c r="K66" s="76"/>
      <c r="L66" s="104">
        <v>1.00000001E-3</v>
      </c>
      <c r="M66" s="34"/>
      <c r="N66" s="76"/>
      <c r="O66" s="104">
        <v>1.00000001E-3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6.5999999990000002E-2</v>
      </c>
      <c r="G70" s="34"/>
      <c r="H70" s="76"/>
      <c r="I70" s="105">
        <v>6.5999999990000002E-2</v>
      </c>
      <c r="J70" s="34"/>
      <c r="K70" s="76"/>
      <c r="L70" s="105">
        <v>6.5999999990000002E-2</v>
      </c>
      <c r="M70" s="34"/>
      <c r="N70" s="76"/>
      <c r="O70" s="105">
        <v>6.5999999990000002E-2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1.0659999999900001</v>
      </c>
      <c r="G71" s="34"/>
      <c r="H71" s="76"/>
      <c r="I71" s="106">
        <v>1.0659999999900001</v>
      </c>
      <c r="J71" s="34"/>
      <c r="K71" s="76"/>
      <c r="L71" s="106">
        <v>1.0659999999900001</v>
      </c>
      <c r="M71" s="34"/>
      <c r="N71" s="76"/>
      <c r="O71" s="106">
        <v>1.0659999999900001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3479201.5436999733</v>
      </c>
      <c r="G72" s="34"/>
      <c r="H72" s="76"/>
      <c r="I72" s="108">
        <f>I50</f>
        <v>3586943.8310999428</v>
      </c>
      <c r="J72" s="34"/>
      <c r="K72" s="76"/>
      <c r="L72" s="108">
        <f>L50</f>
        <v>3572980.6652501351</v>
      </c>
      <c r="M72" s="34"/>
      <c r="N72" s="76"/>
      <c r="O72" s="108">
        <f>O50</f>
        <v>3572696.5658193184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2595774.6150408601</v>
      </c>
      <c r="G73" s="34"/>
      <c r="H73" s="76"/>
      <c r="I73" s="110">
        <f>F81</f>
        <v>2137859.8802579958</v>
      </c>
      <c r="J73" s="34"/>
      <c r="K73" s="76"/>
      <c r="L73" s="110">
        <f>I81</f>
        <v>2211512.4032480125</v>
      </c>
      <c r="M73" s="34"/>
      <c r="N73" s="76"/>
      <c r="O73" s="110">
        <f>L81</f>
        <v>2180435.3353842977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763890.52464633121</v>
      </c>
      <c r="G74" s="34"/>
      <c r="H74" s="76"/>
      <c r="I74" s="110">
        <f>F82</f>
        <v>1341341.6634419775</v>
      </c>
      <c r="J74" s="34"/>
      <c r="K74" s="76"/>
      <c r="L74" s="110">
        <f>I82</f>
        <v>1375431.4278519303</v>
      </c>
      <c r="M74" s="34"/>
      <c r="N74" s="76"/>
      <c r="O74" s="110">
        <f>L82</f>
        <v>1392545.3298658375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3359665.1396871912</v>
      </c>
      <c r="G75" s="34"/>
      <c r="H75" s="76"/>
      <c r="I75" s="111">
        <f>SUM(I73:I74)</f>
        <v>3479201.5436999733</v>
      </c>
      <c r="J75" s="34"/>
      <c r="K75" s="76"/>
      <c r="L75" s="111">
        <f>SUM(L73:L74)</f>
        <v>3586943.8310999428</v>
      </c>
      <c r="M75" s="34"/>
      <c r="N75" s="76"/>
      <c r="O75" s="111">
        <f>SUM(O73:O74)</f>
        <v>3572980.6652501351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1.0355798566353287</v>
      </c>
      <c r="G76" s="81"/>
      <c r="H76" s="82"/>
      <c r="I76" s="112">
        <f>I72/I75</f>
        <v>1.0309675326498593</v>
      </c>
      <c r="J76" s="81"/>
      <c r="K76" s="82"/>
      <c r="L76" s="112">
        <f>L72/L75</f>
        <v>0.99610722483894432</v>
      </c>
      <c r="M76" s="81"/>
      <c r="N76" s="82"/>
      <c r="O76" s="112">
        <f>O72/O75</f>
        <v>0.99992048671475342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3479201.5436999733</v>
      </c>
      <c r="G78" s="73"/>
      <c r="H78" s="73"/>
      <c r="I78" s="115">
        <f>IF(I72&lt;=I75*I71,I72,I75*I71)</f>
        <v>3586943.8310999428</v>
      </c>
      <c r="J78" s="73"/>
      <c r="K78" s="73"/>
      <c r="L78" s="115">
        <f>IF(L72&lt;=L75*L71,L72,L75*L71)</f>
        <v>3572980.6652501351</v>
      </c>
      <c r="M78" s="73"/>
      <c r="N78" s="73"/>
      <c r="O78" s="115">
        <f>IF(O72&lt;=O75*O71,O72,O75*O71)</f>
        <v>3572696.5658193184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1943508.9820527236</v>
      </c>
      <c r="E81" s="120">
        <f>E23</f>
        <v>194350.89820527239</v>
      </c>
      <c r="F81" s="115">
        <f>D81+E81</f>
        <v>2137859.8802579958</v>
      </c>
      <c r="G81" s="119">
        <f>G23-I79</f>
        <v>2010465.8211345568</v>
      </c>
      <c r="H81" s="120">
        <f>H23</f>
        <v>201046.58211345569</v>
      </c>
      <c r="I81" s="115">
        <f>G81+H81</f>
        <v>2211512.4032480125</v>
      </c>
      <c r="J81" s="119">
        <f>J23-L79</f>
        <v>1982213.9412584524</v>
      </c>
      <c r="K81" s="120">
        <f>K23</f>
        <v>198221.39412584525</v>
      </c>
      <c r="L81" s="115">
        <f>J81+K81</f>
        <v>2180435.3353842977</v>
      </c>
      <c r="M81" s="119">
        <f>M23-O79</f>
        <v>1980183.6203834524</v>
      </c>
      <c r="N81" s="120">
        <f>N23</f>
        <v>198018.36203834525</v>
      </c>
      <c r="O81" s="115">
        <f>M81+N81</f>
        <v>2178201.9824217977</v>
      </c>
    </row>
    <row r="82" spans="1:52" s="14" customFormat="1" ht="20" customHeight="1" thickBot="1">
      <c r="B82" s="118" t="s">
        <v>72</v>
      </c>
      <c r="D82" s="121">
        <f>D50-D81-F79</f>
        <v>1063253.1175247331</v>
      </c>
      <c r="E82" s="122">
        <f>E50-E81</f>
        <v>278088.54591724434</v>
      </c>
      <c r="F82" s="123">
        <f>D82+E82</f>
        <v>1341341.6634419775</v>
      </c>
      <c r="G82" s="121">
        <f>G49-G81-I79</f>
        <v>1092412.3902144821</v>
      </c>
      <c r="H82" s="122">
        <f>H50-H81</f>
        <v>283019.03763744817</v>
      </c>
      <c r="I82" s="123">
        <f>G82+H82</f>
        <v>1375431.4278519303</v>
      </c>
      <c r="J82" s="121">
        <f>J50-J81-L79</f>
        <v>1107970.4829543978</v>
      </c>
      <c r="K82" s="122">
        <f>K50-K81</f>
        <v>284574.84691143979</v>
      </c>
      <c r="L82" s="123">
        <f>J82+K82</f>
        <v>1392545.3298658375</v>
      </c>
      <c r="M82" s="121">
        <f>M49-M81-O79</f>
        <v>1109742.5316195644</v>
      </c>
      <c r="N82" s="122">
        <f>N50-N81</f>
        <v>284752.05177795643</v>
      </c>
      <c r="O82" s="123">
        <f>M82+N82</f>
        <v>1394494.5833975207</v>
      </c>
    </row>
    <row r="83" spans="1:52" s="124" customFormat="1" ht="17.25" customHeight="1" thickBot="1">
      <c r="B83" s="125" t="s">
        <v>73</v>
      </c>
      <c r="C83" s="14"/>
      <c r="D83" s="126">
        <f>SUM(D81:D82)</f>
        <v>3006762.0995774567</v>
      </c>
      <c r="E83" s="127">
        <f t="shared" ref="E83:O83" si="25">SUM(E81:E82)</f>
        <v>472439.44412251672</v>
      </c>
      <c r="F83" s="128">
        <f t="shared" si="25"/>
        <v>3479201.5436999733</v>
      </c>
      <c r="G83" s="126">
        <f t="shared" si="25"/>
        <v>3102878.2113490389</v>
      </c>
      <c r="H83" s="127">
        <f t="shared" si="25"/>
        <v>484065.61975090386</v>
      </c>
      <c r="I83" s="128">
        <f t="shared" si="25"/>
        <v>3586943.8310999428</v>
      </c>
      <c r="J83" s="126">
        <f t="shared" si="25"/>
        <v>3090184.4242128502</v>
      </c>
      <c r="K83" s="127">
        <f t="shared" si="25"/>
        <v>482796.24103728507</v>
      </c>
      <c r="L83" s="128">
        <f t="shared" si="25"/>
        <v>3572980.6652501351</v>
      </c>
      <c r="M83" s="126">
        <f t="shared" si="25"/>
        <v>3089926.1520030168</v>
      </c>
      <c r="N83" s="127">
        <f t="shared" si="25"/>
        <v>482770.41381630168</v>
      </c>
      <c r="O83" s="128">
        <f t="shared" si="25"/>
        <v>3572696.5658193184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2137859.8802579958</v>
      </c>
      <c r="G88" s="72"/>
      <c r="H88" s="73"/>
      <c r="I88" s="136">
        <f>I81-I85</f>
        <v>2211512.4032480125</v>
      </c>
      <c r="J88" s="72"/>
      <c r="K88" s="73"/>
      <c r="L88" s="136">
        <f>L81-L85</f>
        <v>2180435.3353842977</v>
      </c>
      <c r="M88" s="72"/>
      <c r="N88" s="73"/>
      <c r="O88" s="136">
        <f>O81-O85</f>
        <v>2178201.9824217977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1341341.6634419775</v>
      </c>
      <c r="G89" s="34"/>
      <c r="H89" s="76"/>
      <c r="I89" s="138">
        <f>I82-I86</f>
        <v>1375431.4278519303</v>
      </c>
      <c r="J89" s="34"/>
      <c r="K89" s="76"/>
      <c r="L89" s="138">
        <f>L82-L86</f>
        <v>1392545.3298658375</v>
      </c>
      <c r="M89" s="34"/>
      <c r="N89" s="76"/>
      <c r="O89" s="138">
        <f>O82-O86</f>
        <v>1394494.5833975207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3479201.5436999733</v>
      </c>
      <c r="G90" s="81"/>
      <c r="H90" s="82"/>
      <c r="I90" s="139">
        <f>+I88+I89</f>
        <v>3586943.8310999428</v>
      </c>
      <c r="J90" s="81"/>
      <c r="K90" s="82"/>
      <c r="L90" s="139">
        <f>+L88+L89</f>
        <v>3572980.6652501351</v>
      </c>
      <c r="M90" s="81"/>
      <c r="N90" s="82"/>
      <c r="O90" s="139">
        <f>+O88+O89</f>
        <v>3572696.5658193184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-1045.9901247379457</v>
      </c>
      <c r="E92" s="143">
        <v>0</v>
      </c>
      <c r="F92" s="144">
        <f>D92+E92</f>
        <v>-1045.9901247379457</v>
      </c>
      <c r="G92" s="142">
        <v>-49586.070784530813</v>
      </c>
      <c r="H92" s="143">
        <v>0</v>
      </c>
      <c r="I92" s="144">
        <f>G92+H92</f>
        <v>-49586.070784530813</v>
      </c>
      <c r="J92" s="142">
        <v>-49586.070784530813</v>
      </c>
      <c r="K92" s="143">
        <v>0</v>
      </c>
      <c r="L92" s="144">
        <f>J92+K92</f>
        <v>-49586.070784530813</v>
      </c>
      <c r="M92" s="142">
        <v>-49586.070784530813</v>
      </c>
      <c r="N92" s="143">
        <v>0</v>
      </c>
      <c r="O92" s="144">
        <f>M92+N92</f>
        <v>-49586.070784530813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3081496.1256697737</v>
      </c>
      <c r="E96" s="166">
        <f>E6+E7+E8+E9+E11+E25+E30+E40+E42+E21+E45</f>
        <v>472439.44412251672</v>
      </c>
      <c r="F96" s="166">
        <f t="shared" ref="F96" si="26">F6+F7+F8+F9+F11+F25+F30+F40+F42</f>
        <v>3253259.3598345444</v>
      </c>
      <c r="G96" s="166">
        <f t="shared" ref="G96" si="27">G6+G7+G8+G9+G11+G25+G30+G40+G42+G21+G45</f>
        <v>3188454.8089439902</v>
      </c>
      <c r="H96" s="166">
        <f t="shared" ref="H96" si="28">H6+H7+H8+H9+H11+H25+H30+H40+H42</f>
        <v>173777.79861599999</v>
      </c>
      <c r="I96" s="166">
        <f t="shared" ref="I96" si="29">I6+I7+I8+I9+I11+I25+I30+I40+I42+I21+I45</f>
        <v>3672520.4286948941</v>
      </c>
      <c r="J96" s="166">
        <f t="shared" ref="J96" si="30">J6+J7+J8+J9+J11+J25+J30+J40+J42</f>
        <v>3204012.9016839061</v>
      </c>
      <c r="K96" s="166">
        <f t="shared" ref="K96" si="31">K6+K7+K8+K9+K11+K25+K30+K40+K42+K21+K45</f>
        <v>482796.24103728507</v>
      </c>
      <c r="L96" s="166">
        <f t="shared" ref="L96" si="32">L6+L7+L8+L9+L11+L25+L30+L40+L42</f>
        <v>3377790.7002999061</v>
      </c>
      <c r="M96" s="166">
        <f t="shared" ref="M96" si="33">M6+M7+M8+M9+M11+M25+M30+M40+M42+M21+M45</f>
        <v>3205784.9503490725</v>
      </c>
      <c r="N96" s="166">
        <f t="shared" ref="N96" si="34">N6+N7+N8+N9+N11+N25+N30+N40+N42</f>
        <v>173777.79861599999</v>
      </c>
      <c r="O96" s="166">
        <f t="shared" ref="O96" si="35">O6+O7+O8+O9+O11+O25+O30+O40+O42+O21+O45</f>
        <v>3688555.3641653741</v>
      </c>
    </row>
    <row r="97" spans="4:15" s="14" customFormat="1">
      <c r="D97" s="166">
        <f>D96-D15-D19</f>
        <v>2965521.4685253715</v>
      </c>
      <c r="E97" s="166">
        <f>E96-E15-E19</f>
        <v>472439.44412251672</v>
      </c>
      <c r="F97" s="166">
        <f t="shared" ref="F97:O97" si="36">F96-F15-F19</f>
        <v>3137284.7026901422</v>
      </c>
      <c r="G97" s="166">
        <f t="shared" si="36"/>
        <v>3072596.010597934</v>
      </c>
      <c r="H97" s="166">
        <f t="shared" si="36"/>
        <v>173777.79861599999</v>
      </c>
      <c r="I97" s="166">
        <f t="shared" si="36"/>
        <v>3556661.6303488379</v>
      </c>
      <c r="J97" s="166">
        <f t="shared" si="36"/>
        <v>3088154.10333785</v>
      </c>
      <c r="K97" s="166">
        <f t="shared" si="36"/>
        <v>482796.24103728507</v>
      </c>
      <c r="L97" s="166">
        <f t="shared" si="36"/>
        <v>3261931.9019538499</v>
      </c>
      <c r="M97" s="166">
        <f t="shared" si="36"/>
        <v>3089926.1520030163</v>
      </c>
      <c r="N97" s="166">
        <f t="shared" si="36"/>
        <v>173777.79861599999</v>
      </c>
      <c r="O97" s="166">
        <f t="shared" si="36"/>
        <v>3572696.5658193179</v>
      </c>
    </row>
    <row r="98" spans="4:15" s="14" customFormat="1">
      <c r="D98" s="166">
        <f>D20+D44</f>
        <v>41240.631052085897</v>
      </c>
      <c r="E98" s="166">
        <f>E20+E44</f>
        <v>0</v>
      </c>
      <c r="F98" s="166">
        <f t="shared" ref="F98:O98" si="37">F20+F44</f>
        <v>41240.631052085897</v>
      </c>
      <c r="G98" s="166">
        <f t="shared" si="37"/>
        <v>30282.20075110445</v>
      </c>
      <c r="H98" s="166">
        <f t="shared" si="37"/>
        <v>0</v>
      </c>
      <c r="I98" s="166">
        <f t="shared" si="37"/>
        <v>30282.20075110445</v>
      </c>
      <c r="J98" s="166">
        <f t="shared" si="37"/>
        <v>2030.3208749999903</v>
      </c>
      <c r="K98" s="166">
        <f t="shared" si="37"/>
        <v>0</v>
      </c>
      <c r="L98" s="166">
        <f t="shared" si="37"/>
        <v>2030.3208749999903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47" priority="7" operator="containsText" text="ERRORE">
      <formula>NOT(ISERROR(SEARCH("ERRORE",F81)))</formula>
    </cfRule>
  </conditionalFormatting>
  <conditionalFormatting sqref="I83">
    <cfRule type="containsText" dxfId="46" priority="6" operator="containsText" text="ERRORE">
      <formula>NOT(ISERROR(SEARCH("ERRORE",I83)))</formula>
    </cfRule>
  </conditionalFormatting>
  <conditionalFormatting sqref="I81:I82">
    <cfRule type="containsText" dxfId="45" priority="5" operator="containsText" text="ERRORE">
      <formula>NOT(ISERROR(SEARCH("ERRORE",I81)))</formula>
    </cfRule>
  </conditionalFormatting>
  <conditionalFormatting sqref="L83">
    <cfRule type="containsText" dxfId="44" priority="4" operator="containsText" text="ERRORE">
      <formula>NOT(ISERROR(SEARCH("ERRORE",L83)))</formula>
    </cfRule>
  </conditionalFormatting>
  <conditionalFormatting sqref="L81:L82">
    <cfRule type="containsText" dxfId="43" priority="3" operator="containsText" text="ERRORE">
      <formula>NOT(ISERROR(SEARCH("ERRORE",L81)))</formula>
    </cfRule>
  </conditionalFormatting>
  <conditionalFormatting sqref="O83">
    <cfRule type="containsText" dxfId="42" priority="2" operator="containsText" text="ERRORE">
      <formula>NOT(ISERROR(SEARCH("ERRORE",O83)))</formula>
    </cfRule>
  </conditionalFormatting>
  <conditionalFormatting sqref="O81:O82">
    <cfRule type="containsText" dxfId="41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588"/>
  <sheetViews>
    <sheetView tabSelected="1" topLeftCell="C1" zoomScale="60" zoomScaleNormal="60" zoomScalePageLayoutView="60" workbookViewId="0">
      <selection activeCell="D1" sqref="D1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112</v>
      </c>
      <c r="B1" s="2" t="str">
        <f>"       PEF 2022 - 2025"&amp;" - "&amp;A1</f>
        <v xml:space="preserve">       PEF 2022 - 2025 - Stra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155</v>
      </c>
      <c r="E4" s="188"/>
      <c r="F4" s="189"/>
      <c r="G4" s="187" t="str">
        <f>D4</f>
        <v>Ambito tariffario: STRA</v>
      </c>
      <c r="H4" s="188"/>
      <c r="I4" s="189"/>
      <c r="J4" s="187" t="str">
        <f>D4</f>
        <v>Ambito tariffario: STRA</v>
      </c>
      <c r="K4" s="188"/>
      <c r="L4" s="189"/>
      <c r="M4" s="187" t="str">
        <f>D4</f>
        <v>Ambito tariffario: STRA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107829.77832531526</v>
      </c>
      <c r="E6" s="22">
        <v>0</v>
      </c>
      <c r="F6" s="23">
        <f>D6+E6</f>
        <v>107829.77832531526</v>
      </c>
      <c r="G6" s="22">
        <v>111544.92401366196</v>
      </c>
      <c r="H6" s="22">
        <v>0</v>
      </c>
      <c r="I6" s="23">
        <f>G6+H6</f>
        <v>111544.92401366196</v>
      </c>
      <c r="J6" s="22">
        <v>111544.92401366196</v>
      </c>
      <c r="K6" s="22">
        <v>0</v>
      </c>
      <c r="L6" s="23">
        <f>J6+K6</f>
        <v>111544.92401366196</v>
      </c>
      <c r="M6" s="22">
        <v>111544.92401366196</v>
      </c>
      <c r="N6" s="22">
        <v>0</v>
      </c>
      <c r="O6" s="23">
        <f>M6+N6</f>
        <v>111544.92401366196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98052.350537256629</v>
      </c>
      <c r="E7" s="22">
        <v>0</v>
      </c>
      <c r="F7" s="23">
        <f t="shared" ref="F7:F20" si="0">D7+E7</f>
        <v>98052.350537256629</v>
      </c>
      <c r="G7" s="22">
        <v>102639.38582688548</v>
      </c>
      <c r="H7" s="22">
        <v>0</v>
      </c>
      <c r="I7" s="23">
        <f t="shared" ref="I7:I13" si="1">G7+H7</f>
        <v>102639.38582688548</v>
      </c>
      <c r="J7" s="22">
        <v>102639.38582688548</v>
      </c>
      <c r="K7" s="22">
        <v>0</v>
      </c>
      <c r="L7" s="23">
        <f t="shared" ref="L7:L12" si="2">J7+K7</f>
        <v>102639.38582688548</v>
      </c>
      <c r="M7" s="22">
        <v>102639.38582688548</v>
      </c>
      <c r="N7" s="22">
        <v>0</v>
      </c>
      <c r="O7" s="23">
        <f t="shared" ref="O7:O13" si="3">M7+N7</f>
        <v>102639.38582688548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114837.40859428303</v>
      </c>
      <c r="E8" s="22">
        <v>0</v>
      </c>
      <c r="F8" s="23">
        <f t="shared" si="0"/>
        <v>114837.40859428303</v>
      </c>
      <c r="G8" s="22">
        <v>120212.49027591199</v>
      </c>
      <c r="H8" s="22">
        <v>0</v>
      </c>
      <c r="I8" s="23">
        <f t="shared" si="1"/>
        <v>120212.49027591199</v>
      </c>
      <c r="J8" s="22">
        <v>120212.49027591199</v>
      </c>
      <c r="K8" s="22">
        <v>0</v>
      </c>
      <c r="L8" s="23">
        <f t="shared" si="2"/>
        <v>120212.49027591199</v>
      </c>
      <c r="M8" s="22">
        <v>120212.49027591199</v>
      </c>
      <c r="N8" s="22">
        <v>0</v>
      </c>
      <c r="O8" s="23">
        <f t="shared" si="3"/>
        <v>120212.49027591199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244504.19323250471</v>
      </c>
      <c r="E9" s="22">
        <v>0</v>
      </c>
      <c r="F9" s="23">
        <f t="shared" si="0"/>
        <v>244504.19323250471</v>
      </c>
      <c r="G9" s="22">
        <v>251409.92059265188</v>
      </c>
      <c r="H9" s="22">
        <v>0</v>
      </c>
      <c r="I9" s="23">
        <f t="shared" si="1"/>
        <v>251409.92059265188</v>
      </c>
      <c r="J9" s="22">
        <v>251409.92059265188</v>
      </c>
      <c r="K9" s="22">
        <v>0</v>
      </c>
      <c r="L9" s="23">
        <f t="shared" si="2"/>
        <v>251409.92059265188</v>
      </c>
      <c r="M9" s="22">
        <v>251409.92059265188</v>
      </c>
      <c r="N9" s="22">
        <v>0</v>
      </c>
      <c r="O9" s="23">
        <f t="shared" si="3"/>
        <v>251409.92059265188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2823.3162486503929</v>
      </c>
      <c r="E11" s="22">
        <v>0</v>
      </c>
      <c r="F11" s="23">
        <f t="shared" si="0"/>
        <v>2823.3162486503929</v>
      </c>
      <c r="G11" s="22">
        <v>2823.3162486503929</v>
      </c>
      <c r="H11" s="22">
        <v>0</v>
      </c>
      <c r="I11" s="23">
        <f t="shared" si="1"/>
        <v>2823.3162486503929</v>
      </c>
      <c r="J11" s="22">
        <v>2823.3162486503929</v>
      </c>
      <c r="K11" s="22">
        <v>0</v>
      </c>
      <c r="L11" s="23">
        <f t="shared" si="2"/>
        <v>2823.3162486503929</v>
      </c>
      <c r="M11" s="22">
        <v>2823.3162486503929</v>
      </c>
      <c r="N11" s="22">
        <v>0</v>
      </c>
      <c r="O11" s="23">
        <f t="shared" si="3"/>
        <v>2823.3162486503929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62777.286579522683</v>
      </c>
      <c r="E13" s="22">
        <v>0</v>
      </c>
      <c r="F13" s="23">
        <f t="shared" si="0"/>
        <v>62777.286579522683</v>
      </c>
      <c r="G13" s="22">
        <v>62714.572007515177</v>
      </c>
      <c r="H13" s="22">
        <v>0</v>
      </c>
      <c r="I13" s="23">
        <f t="shared" si="1"/>
        <v>62714.572007515177</v>
      </c>
      <c r="J13" s="22">
        <v>62714.572007515177</v>
      </c>
      <c r="K13" s="22">
        <v>0</v>
      </c>
      <c r="L13" s="23">
        <f>J13+K13</f>
        <v>62714.572007515177</v>
      </c>
      <c r="M13" s="22">
        <v>62714.572007515177</v>
      </c>
      <c r="N13" s="22">
        <v>0</v>
      </c>
      <c r="O13" s="23">
        <f t="shared" si="3"/>
        <v>62714.572007515177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37666.371947713611</v>
      </c>
      <c r="E15" s="22">
        <v>0</v>
      </c>
      <c r="F15" s="23">
        <f t="shared" si="0"/>
        <v>37666.371947713611</v>
      </c>
      <c r="G15" s="22">
        <v>37628.743204509105</v>
      </c>
      <c r="H15" s="22">
        <v>0</v>
      </c>
      <c r="I15" s="23">
        <f t="shared" ref="I15:I16" si="4">G15+H15</f>
        <v>37628.743204509105</v>
      </c>
      <c r="J15" s="22">
        <v>37628.743204509105</v>
      </c>
      <c r="K15" s="22">
        <v>0</v>
      </c>
      <c r="L15" s="23">
        <f t="shared" ref="L15:L16" si="5">J15+K15</f>
        <v>37628.743204509105</v>
      </c>
      <c r="M15" s="22">
        <v>37628.743204509105</v>
      </c>
      <c r="N15" s="22">
        <v>0</v>
      </c>
      <c r="O15" s="23">
        <f t="shared" ref="O15:O16" si="6">M15+N15</f>
        <v>37628.743204509105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459.05394101277506</v>
      </c>
      <c r="E16" s="22">
        <v>0</v>
      </c>
      <c r="F16" s="23">
        <f t="shared" si="0"/>
        <v>459.05394101277506</v>
      </c>
      <c r="G16" s="22">
        <v>458.59534566710795</v>
      </c>
      <c r="H16" s="22">
        <v>0</v>
      </c>
      <c r="I16" s="23">
        <f t="shared" si="4"/>
        <v>458.59534566710795</v>
      </c>
      <c r="J16" s="22">
        <v>458.59534566710795</v>
      </c>
      <c r="K16" s="22">
        <v>0</v>
      </c>
      <c r="L16" s="23">
        <f t="shared" si="5"/>
        <v>458.59534566710795</v>
      </c>
      <c r="M16" s="22">
        <v>458.59534566710795</v>
      </c>
      <c r="N16" s="22">
        <v>0</v>
      </c>
      <c r="O16" s="23">
        <f t="shared" si="6"/>
        <v>458.59534566710795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302.97560106843156</v>
      </c>
      <c r="E19" s="22">
        <v>0</v>
      </c>
      <c r="F19" s="23">
        <f t="shared" si="0"/>
        <v>302.97560106843156</v>
      </c>
      <c r="G19" s="22">
        <v>302.67292814029128</v>
      </c>
      <c r="H19" s="22">
        <v>0</v>
      </c>
      <c r="I19" s="23">
        <f t="shared" ref="I19:I20" si="7">G19+H19</f>
        <v>302.67292814029128</v>
      </c>
      <c r="J19" s="22">
        <v>302.67292814029128</v>
      </c>
      <c r="K19" s="22">
        <v>0</v>
      </c>
      <c r="L19" s="23">
        <f t="shared" ref="L19:L20" si="8">J19+K19</f>
        <v>302.67292814029128</v>
      </c>
      <c r="M19" s="32">
        <v>302.67292814029128</v>
      </c>
      <c r="N19" s="33">
        <v>0</v>
      </c>
      <c r="O19" s="23">
        <f t="shared" ref="O19:O20" si="9">M19+N19</f>
        <v>302.67292814029128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22">
        <v>0</v>
      </c>
      <c r="F20" s="23">
        <f t="shared" si="0"/>
        <v>0</v>
      </c>
      <c r="G20" s="178">
        <v>17269.680858183492</v>
      </c>
      <c r="H20" s="22">
        <v>0</v>
      </c>
      <c r="I20" s="23">
        <f t="shared" si="7"/>
        <v>17269.680858183492</v>
      </c>
      <c r="J20" s="22">
        <v>55287.317500000005</v>
      </c>
      <c r="K20" s="22">
        <v>0</v>
      </c>
      <c r="L20" s="23">
        <f t="shared" si="8"/>
        <v>55287.317500000005</v>
      </c>
      <c r="M20" s="178">
        <v>67083</v>
      </c>
      <c r="N20" s="22">
        <v>0</v>
      </c>
      <c r="O20" s="23">
        <f t="shared" si="9"/>
        <v>67083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/>
      <c r="F21" s="23">
        <f>E21</f>
        <v>0</v>
      </c>
      <c r="G21" s="34"/>
      <c r="H21" s="22"/>
      <c r="I21" s="23">
        <f>H21</f>
        <v>0</v>
      </c>
      <c r="J21" s="34"/>
      <c r="K21" s="22"/>
      <c r="L21" s="23">
        <f>K21</f>
        <v>0</v>
      </c>
      <c r="M21" s="34"/>
      <c r="N21" s="22"/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530077.6993892279</v>
      </c>
      <c r="E23" s="38">
        <f>E6+E7+E8+E9+E10+E11+E12-E15-E19+E20+E21</f>
        <v>0</v>
      </c>
      <c r="F23" s="38">
        <f>D23+E23</f>
        <v>530077.6993892279</v>
      </c>
      <c r="G23" s="38">
        <f>G6+G7+G8+G9+G10+G11+G12-G15-G19+G20+G22</f>
        <v>567968.30168329587</v>
      </c>
      <c r="H23" s="38">
        <f>H6+H7+H8+H9+H10+H11+H12-H15-H19+H20+H21+H22</f>
        <v>0</v>
      </c>
      <c r="I23" s="38">
        <f>G23+H23</f>
        <v>567968.30168329587</v>
      </c>
      <c r="J23" s="38">
        <f>J6+J7+J8+J9+J10+J11+J12-J15-J19+J20+J22</f>
        <v>605985.93832511234</v>
      </c>
      <c r="K23" s="38">
        <f>K6+K7+K8+K9+K10+K11+K12-K15-K19+K20+K21+K22</f>
        <v>0</v>
      </c>
      <c r="L23" s="38">
        <f>J23+K23</f>
        <v>605985.93832511234</v>
      </c>
      <c r="M23" s="38">
        <f>M6+M7+M8+M9+M10+M11+M12-M15-M19+M20+M22</f>
        <v>617781.62082511233</v>
      </c>
      <c r="N23" s="38">
        <f>N6+N7+N8+N9+N10+N11+N12-N15-N19+N20+N21+N22</f>
        <v>0</v>
      </c>
      <c r="O23" s="38">
        <f>M23+N23</f>
        <v>617781.62082511233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127890.30168943889</v>
      </c>
      <c r="E25" s="44">
        <v>0</v>
      </c>
      <c r="F25" s="45">
        <f t="shared" ref="F25:F44" si="13">D25+E25</f>
        <v>127890.30168943889</v>
      </c>
      <c r="G25" s="44">
        <v>133678.23339467932</v>
      </c>
      <c r="H25" s="44">
        <v>0</v>
      </c>
      <c r="I25" s="45">
        <f t="shared" ref="I25:I33" si="14">G25+H25</f>
        <v>133678.23339467932</v>
      </c>
      <c r="J25" s="44">
        <v>133678.23339467932</v>
      </c>
      <c r="K25" s="44">
        <v>0</v>
      </c>
      <c r="L25" s="45">
        <f t="shared" ref="L25:L44" si="15">J25+K25</f>
        <v>133678.23339467932</v>
      </c>
      <c r="M25" s="44">
        <v>133678.23339467932</v>
      </c>
      <c r="N25" s="44">
        <v>0</v>
      </c>
      <c r="O25" s="45">
        <f t="shared" ref="O25:O43" si="16">M25+N25</f>
        <v>133678.23339467932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108604.01534764236</v>
      </c>
      <c r="E26" s="22">
        <v>0</v>
      </c>
      <c r="F26" s="36">
        <f t="shared" si="13"/>
        <v>108604.01534764236</v>
      </c>
      <c r="G26" s="22">
        <v>111785.48392452639</v>
      </c>
      <c r="H26" s="22">
        <v>0</v>
      </c>
      <c r="I26" s="36">
        <f t="shared" si="14"/>
        <v>111785.48392452639</v>
      </c>
      <c r="J26" s="22">
        <v>111785.48392452639</v>
      </c>
      <c r="K26" s="22">
        <v>0</v>
      </c>
      <c r="L26" s="36">
        <f t="shared" si="15"/>
        <v>111785.48392452639</v>
      </c>
      <c r="M26" s="22">
        <v>111785.48392452639</v>
      </c>
      <c r="N26" s="22">
        <v>0</v>
      </c>
      <c r="O26" s="36">
        <f t="shared" si="16"/>
        <v>111785.48392452639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92611.974509019637</v>
      </c>
      <c r="E27" s="47">
        <v>0</v>
      </c>
      <c r="F27" s="48">
        <f t="shared" si="13"/>
        <v>92611.974509019637</v>
      </c>
      <c r="G27" s="47">
        <v>96178.126962017253</v>
      </c>
      <c r="H27" s="47">
        <v>0</v>
      </c>
      <c r="I27" s="48">
        <f t="shared" si="14"/>
        <v>96178.126962017253</v>
      </c>
      <c r="J27" s="47">
        <v>96178.126962017253</v>
      </c>
      <c r="K27" s="47">
        <v>0</v>
      </c>
      <c r="L27" s="48">
        <f t="shared" si="15"/>
        <v>96178.126962017253</v>
      </c>
      <c r="M27" s="47">
        <v>96178.126962017253</v>
      </c>
      <c r="N27" s="47">
        <v>0</v>
      </c>
      <c r="O27" s="48">
        <f t="shared" si="16"/>
        <v>96178.126962017253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14436.317318695932</v>
      </c>
      <c r="E29" s="47">
        <v>0</v>
      </c>
      <c r="F29" s="48">
        <f t="shared" si="13"/>
        <v>14436.317318695932</v>
      </c>
      <c r="G29" s="47">
        <v>14540.030107920942</v>
      </c>
      <c r="H29" s="47">
        <v>0</v>
      </c>
      <c r="I29" s="48">
        <f t="shared" si="14"/>
        <v>14540.030107920942</v>
      </c>
      <c r="J29" s="47">
        <v>14540.030107920942</v>
      </c>
      <c r="K29" s="47">
        <v>0</v>
      </c>
      <c r="L29" s="48">
        <f t="shared" si="15"/>
        <v>14540.030107920942</v>
      </c>
      <c r="M29" s="47">
        <v>14540.030107920942</v>
      </c>
      <c r="N29" s="47">
        <v>0</v>
      </c>
      <c r="O29" s="48">
        <f t="shared" si="16"/>
        <v>14540.030107920942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215652.30717535794</v>
      </c>
      <c r="E30" s="51">
        <f>+E26+E27+E28+E29</f>
        <v>0</v>
      </c>
      <c r="F30" s="52">
        <f t="shared" si="13"/>
        <v>215652.30717535794</v>
      </c>
      <c r="G30" s="51">
        <f>+G26+G27+G28+G29</f>
        <v>222503.64099446457</v>
      </c>
      <c r="H30" s="51">
        <f>+H26+H27+H28+H29</f>
        <v>0</v>
      </c>
      <c r="I30" s="52">
        <f t="shared" si="14"/>
        <v>222503.64099446457</v>
      </c>
      <c r="J30" s="51">
        <f>+J26+J27+J28+J29</f>
        <v>222503.64099446457</v>
      </c>
      <c r="K30" s="51">
        <f>+K26+K27+K28+K29</f>
        <v>0</v>
      </c>
      <c r="L30" s="52">
        <f t="shared" si="15"/>
        <v>222503.64099446457</v>
      </c>
      <c r="M30" s="51">
        <f>+M26+M27+M28+M29</f>
        <v>222503.64099446457</v>
      </c>
      <c r="N30" s="51">
        <f>+N26+N27+N28+N29</f>
        <v>0</v>
      </c>
      <c r="O30" s="52">
        <f t="shared" si="16"/>
        <v>222503.64099446457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98271.867812037992</v>
      </c>
      <c r="E31" s="53">
        <v>0</v>
      </c>
      <c r="F31" s="48">
        <f t="shared" si="13"/>
        <v>98271.867812037992</v>
      </c>
      <c r="G31" s="147">
        <f>VLOOKUP($A$1,REM_ToolEnrico!$B$5:$J$38,4,FALSE)</f>
        <v>75837.321243947299</v>
      </c>
      <c r="H31" s="53">
        <v>0</v>
      </c>
      <c r="I31" s="48">
        <f t="shared" si="14"/>
        <v>75837.321243947299</v>
      </c>
      <c r="J31" s="147">
        <f>VLOOKUP($A$1,REM_ToolEnrico!$B$5:$J$38,6,FALSE)</f>
        <v>72885.995133224977</v>
      </c>
      <c r="K31" s="53">
        <v>0</v>
      </c>
      <c r="L31" s="48">
        <f t="shared" si="15"/>
        <v>72885.995133224977</v>
      </c>
      <c r="M31" s="147">
        <f>VLOOKUP($A$1,REM_ToolEnrico!$B$5:$J$38,8,FALSE)</f>
        <v>63310.471373108303</v>
      </c>
      <c r="N31" s="53">
        <v>0</v>
      </c>
      <c r="O31" s="48">
        <f t="shared" si="16"/>
        <v>63310.471373108303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71266.150584522678</v>
      </c>
      <c r="E32" s="54">
        <f>+E33+E34+E35+E36</f>
        <v>0</v>
      </c>
      <c r="F32" s="48">
        <f t="shared" si="13"/>
        <v>71266.150584522678</v>
      </c>
      <c r="G32" s="54">
        <f>+G33+G34+G35+G36</f>
        <v>71194.955628893804</v>
      </c>
      <c r="H32" s="54">
        <f>+H33+H34+H35+H36</f>
        <v>0</v>
      </c>
      <c r="I32" s="48">
        <f t="shared" si="14"/>
        <v>71194.955628893804</v>
      </c>
      <c r="J32" s="54">
        <f>+J33+J34+J35+J36</f>
        <v>71194.955628893804</v>
      </c>
      <c r="K32" s="54">
        <f>+K33+K34+K35+K36</f>
        <v>0</v>
      </c>
      <c r="L32" s="48">
        <f t="shared" si="15"/>
        <v>71194.955628893804</v>
      </c>
      <c r="M32" s="54">
        <f>+M33+M34+M35+M36</f>
        <v>71194.955628893804</v>
      </c>
      <c r="N32" s="54">
        <f>+N33+N34+N35+N36</f>
        <v>0</v>
      </c>
      <c r="O32" s="48">
        <f t="shared" si="16"/>
        <v>71194.955628893804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71266.150584522678</v>
      </c>
      <c r="E34" s="47">
        <v>0</v>
      </c>
      <c r="F34" s="48">
        <f>D34+E34</f>
        <v>71266.150584522678</v>
      </c>
      <c r="G34" s="47">
        <v>71194.955628893804</v>
      </c>
      <c r="H34" s="47">
        <v>0</v>
      </c>
      <c r="I34" s="48">
        <f>G34+H34</f>
        <v>71194.955628893804</v>
      </c>
      <c r="J34" s="47">
        <v>71194.955628893804</v>
      </c>
      <c r="K34" s="158">
        <v>0</v>
      </c>
      <c r="L34" s="48">
        <f t="shared" si="15"/>
        <v>71194.955628893804</v>
      </c>
      <c r="M34" s="47">
        <v>71194.955628893804</v>
      </c>
      <c r="N34" s="158">
        <v>0</v>
      </c>
      <c r="O34" s="48">
        <f t="shared" si="16"/>
        <v>71194.955628893804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37501.99716053786</v>
      </c>
      <c r="E37" s="47">
        <v>0</v>
      </c>
      <c r="F37" s="48">
        <f t="shared" si="13"/>
        <v>37501.99716053786</v>
      </c>
      <c r="G37" s="147">
        <f>VLOOKUP($A$1,REM_ToolEnrico!$B$5:$J$38,5,FALSE)</f>
        <v>36439.895360482071</v>
      </c>
      <c r="H37" s="47">
        <v>0</v>
      </c>
      <c r="I37" s="48">
        <f t="shared" si="17"/>
        <v>36439.895360482071</v>
      </c>
      <c r="J37" s="147">
        <f>VLOOKUP($A$1,REM_ToolEnrico!$B$5:$J$38,7,FALSE)</f>
        <v>34082.050414015714</v>
      </c>
      <c r="K37" s="47">
        <v>0</v>
      </c>
      <c r="L37" s="48">
        <f t="shared" si="15"/>
        <v>34082.050414015714</v>
      </c>
      <c r="M37" s="147">
        <f>VLOOKUP($A$1,REM_ToolEnrico!$B$5:$J$38,9,FALSE)</f>
        <v>31544.500988958484</v>
      </c>
      <c r="N37" s="47">
        <v>0</v>
      </c>
      <c r="O37" s="48">
        <f t="shared" si="16"/>
        <v>31544.500988958484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508.24054839258156</v>
      </c>
      <c r="E38" s="47">
        <v>0</v>
      </c>
      <c r="F38" s="48">
        <f t="shared" si="13"/>
        <v>508.24054839258156</v>
      </c>
      <c r="G38" s="47">
        <v>509.2570294893668</v>
      </c>
      <c r="H38" s="47">
        <v>0</v>
      </c>
      <c r="I38" s="48">
        <f t="shared" si="17"/>
        <v>509.2570294893668</v>
      </c>
      <c r="J38" s="47">
        <v>509.2570294893668</v>
      </c>
      <c r="K38" s="47">
        <v>0</v>
      </c>
      <c r="L38" s="48">
        <f t="shared" si="15"/>
        <v>509.2570294893668</v>
      </c>
      <c r="M38" s="47">
        <v>509.2570294893668</v>
      </c>
      <c r="N38" s="47">
        <v>0</v>
      </c>
      <c r="O38" s="48">
        <f t="shared" si="16"/>
        <v>509.2570294893668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207548.25610549111</v>
      </c>
      <c r="E40" s="51">
        <f>E38+E37+E32+E31+E39</f>
        <v>0</v>
      </c>
      <c r="F40" s="52">
        <f t="shared" si="13"/>
        <v>207548.25610549111</v>
      </c>
      <c r="G40" s="51">
        <f>G38+G37+G32+G31+G39</f>
        <v>183981.42926281254</v>
      </c>
      <c r="H40" s="51">
        <f>H38+H37+H32+H31+H39</f>
        <v>0</v>
      </c>
      <c r="I40" s="52">
        <f t="shared" si="17"/>
        <v>183981.42926281254</v>
      </c>
      <c r="J40" s="51">
        <f>J38+J37+J32+J31+J39</f>
        <v>178672.25820562386</v>
      </c>
      <c r="K40" s="51">
        <f>K38+K37+K32+K31+K39</f>
        <v>0</v>
      </c>
      <c r="L40" s="52">
        <f t="shared" si="15"/>
        <v>178672.25820562386</v>
      </c>
      <c r="M40" s="51">
        <f>M38+M37+M32+M31+M39</f>
        <v>166559.18502044995</v>
      </c>
      <c r="N40" s="51">
        <f>N38+N37+N32+N31+N39</f>
        <v>0</v>
      </c>
      <c r="O40" s="52">
        <f t="shared" si="16"/>
        <v>166559.18502044995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4682.9405510947854</v>
      </c>
      <c r="E42" s="22">
        <v>0</v>
      </c>
      <c r="F42" s="36">
        <f t="shared" si="13"/>
        <v>4682.9405510947854</v>
      </c>
      <c r="G42" s="22">
        <v>8823.804382448694</v>
      </c>
      <c r="H42" s="22">
        <v>0</v>
      </c>
      <c r="I42" s="36">
        <f t="shared" si="17"/>
        <v>8823.804382448694</v>
      </c>
      <c r="J42" s="22">
        <v>8823.804382448694</v>
      </c>
      <c r="K42" s="22">
        <v>0</v>
      </c>
      <c r="L42" s="36">
        <f t="shared" si="15"/>
        <v>8823.804382448694</v>
      </c>
      <c r="M42" s="22">
        <v>8823.804382448694</v>
      </c>
      <c r="N42" s="22">
        <v>0</v>
      </c>
      <c r="O42" s="36">
        <f t="shared" si="16"/>
        <v>8823.804382448694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-11667.96923315934</v>
      </c>
      <c r="E44" s="57">
        <v>0</v>
      </c>
      <c r="F44" s="36">
        <f t="shared" si="13"/>
        <v>-11667.96923315934</v>
      </c>
      <c r="G44" s="57">
        <v>0</v>
      </c>
      <c r="H44" s="57">
        <v>0</v>
      </c>
      <c r="I44" s="36">
        <f t="shared" si="17"/>
        <v>0</v>
      </c>
      <c r="J44" s="57">
        <v>12360.658749999999</v>
      </c>
      <c r="K44" s="57">
        <v>0</v>
      </c>
      <c r="L44" s="36">
        <f t="shared" si="15"/>
        <v>12360.658749999999</v>
      </c>
      <c r="M44" s="57">
        <v>60000</v>
      </c>
      <c r="N44" s="57">
        <v>0</v>
      </c>
      <c r="O44" s="36">
        <f>M44+N44</f>
        <v>60000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544105.83628822339</v>
      </c>
      <c r="E47" s="59">
        <f>E25+E30+E40+E41+E42+E43+E44+E45</f>
        <v>0</v>
      </c>
      <c r="F47" s="60">
        <f>D47+E47</f>
        <v>544105.83628822339</v>
      </c>
      <c r="G47" s="59">
        <f>G25+G30+G40+G41+G42+G43+G44+G46</f>
        <v>548987.10803440504</v>
      </c>
      <c r="H47" s="59">
        <f>H25+H30+H40+H41+H42+H43+H44+H45+H46</f>
        <v>0</v>
      </c>
      <c r="I47" s="60">
        <f>G47+H47</f>
        <v>548987.10803440504</v>
      </c>
      <c r="J47" s="59">
        <f>J25+J30+J40+J41+J42+J43+J44+J46</f>
        <v>556038.59572721634</v>
      </c>
      <c r="K47" s="59">
        <f>K25+K30+K40+K41+K42+K43+K44+K45+K46</f>
        <v>0</v>
      </c>
      <c r="L47" s="60">
        <f>J47+K47</f>
        <v>556038.59572721634</v>
      </c>
      <c r="M47" s="59">
        <f>M25+M30+M40+M41+M42+M43+M44+M46</f>
        <v>591564.86379204248</v>
      </c>
      <c r="N47" s="59">
        <f>N25+N30+N40+N41+N42+N43+N44+N45+N46</f>
        <v>0</v>
      </c>
      <c r="O47" s="60">
        <f>M47+N47</f>
        <v>591564.86379204248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1075334.8874265326</v>
      </c>
      <c r="E49" s="65">
        <v>0</v>
      </c>
      <c r="F49" s="65">
        <f>D49+E49</f>
        <v>1075334.8874265326</v>
      </c>
      <c r="G49" s="65">
        <f>G50</f>
        <v>1116955.4097177009</v>
      </c>
      <c r="H49" s="65">
        <v>0</v>
      </c>
      <c r="I49" s="65">
        <f t="shared" ref="I49" si="21">G49+H49</f>
        <v>1116955.4097177009</v>
      </c>
      <c r="J49" s="65">
        <f>J50</f>
        <v>1162024.5340523287</v>
      </c>
      <c r="K49" s="65">
        <v>0</v>
      </c>
      <c r="L49" s="65">
        <f t="shared" ref="L49" si="22">J49+K49</f>
        <v>1162024.5340523287</v>
      </c>
      <c r="M49" s="65">
        <f>M50</f>
        <v>1209346.4846171548</v>
      </c>
      <c r="N49" s="65">
        <v>0</v>
      </c>
      <c r="O49" s="65">
        <f t="shared" ref="O49" si="23">M49+N49</f>
        <v>1209346.4846171548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1074183.5356774512</v>
      </c>
      <c r="E50" s="59">
        <f t="shared" si="24"/>
        <v>0</v>
      </c>
      <c r="F50" s="59">
        <f t="shared" si="24"/>
        <v>1074183.5356774512</v>
      </c>
      <c r="G50" s="59">
        <f>+G23+G47</f>
        <v>1116955.4097177009</v>
      </c>
      <c r="H50" s="59">
        <f t="shared" si="24"/>
        <v>0</v>
      </c>
      <c r="I50" s="59">
        <f t="shared" si="24"/>
        <v>1116955.4097177009</v>
      </c>
      <c r="J50" s="59">
        <f t="shared" si="24"/>
        <v>1162024.5340523287</v>
      </c>
      <c r="K50" s="59">
        <f>+K23+K47</f>
        <v>0</v>
      </c>
      <c r="L50" s="59">
        <f t="shared" si="24"/>
        <v>1162024.5340523287</v>
      </c>
      <c r="M50" s="59">
        <f>+M23+M47</f>
        <v>1209346.4846171548</v>
      </c>
      <c r="N50" s="59">
        <f t="shared" si="24"/>
        <v>0</v>
      </c>
      <c r="O50" s="59">
        <f t="shared" si="24"/>
        <v>1209346.4846171548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-11667.96923315934</v>
      </c>
      <c r="E51" s="68"/>
      <c r="F51" s="146"/>
      <c r="G51" s="68">
        <f>G44+G20</f>
        <v>17269.680858183492</v>
      </c>
      <c r="H51" s="68"/>
      <c r="I51" s="146"/>
      <c r="J51" s="68">
        <f>J44+J20</f>
        <v>67647.976250000007</v>
      </c>
      <c r="K51" s="68"/>
      <c r="L51" s="146"/>
      <c r="M51" s="68">
        <f>M44+M20</f>
        <v>127083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0.80140000000000011</v>
      </c>
      <c r="G53" s="72"/>
      <c r="H53" s="73"/>
      <c r="I53" s="74">
        <v>0.80140000000000011</v>
      </c>
      <c r="J53" s="72"/>
      <c r="K53" s="73"/>
      <c r="L53" s="74">
        <v>0.80140000000000011</v>
      </c>
      <c r="M53" s="72"/>
      <c r="N53" s="73"/>
      <c r="O53" s="74">
        <v>0.80140000000000011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2666.884</v>
      </c>
      <c r="G54" s="34"/>
      <c r="H54" s="76"/>
      <c r="I54" s="77">
        <v>2666.884</v>
      </c>
      <c r="J54" s="34"/>
      <c r="K54" s="76"/>
      <c r="L54" s="77">
        <v>2666.884</v>
      </c>
      <c r="M54" s="34"/>
      <c r="N54" s="76"/>
      <c r="O54" s="77">
        <v>2666.884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39.572444161069285</v>
      </c>
      <c r="G55" s="34"/>
      <c r="H55" s="76"/>
      <c r="I55" s="78">
        <v>38.737383814657008</v>
      </c>
      <c r="J55" s="34"/>
      <c r="K55" s="76"/>
      <c r="L55" s="78">
        <v>39.777903168379012</v>
      </c>
      <c r="M55" s="34"/>
      <c r="N55" s="76"/>
      <c r="O55" s="78">
        <v>41.600885895898493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28.091765005594141</v>
      </c>
      <c r="G56" s="81"/>
      <c r="H56" s="82"/>
      <c r="I56" s="78">
        <v>28.091765005594141</v>
      </c>
      <c r="J56" s="81"/>
      <c r="K56" s="82"/>
      <c r="L56" s="78">
        <v>28.091765005594141</v>
      </c>
      <c r="M56" s="81"/>
      <c r="N56" s="82"/>
      <c r="O56" s="78">
        <v>28.091765005594141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-2.921055833913222E-2</v>
      </c>
      <c r="G60" s="90"/>
      <c r="H60" s="76"/>
      <c r="I60" s="89">
        <v>-2.921055833913222E-2</v>
      </c>
      <c r="J60" s="34"/>
      <c r="K60" s="91"/>
      <c r="L60" s="89">
        <v>-2.921055833913222E-2</v>
      </c>
      <c r="M60" s="34"/>
      <c r="N60" s="76"/>
      <c r="O60" s="89">
        <v>-2.921055833913222E-2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-2.921055833913222E-2</v>
      </c>
      <c r="G61" s="90"/>
      <c r="H61" s="76"/>
      <c r="I61" s="92">
        <v>-2.921055833913222E-2</v>
      </c>
      <c r="J61" s="34"/>
      <c r="K61" s="76"/>
      <c r="L61" s="93">
        <v>-2.921055833913222E-2</v>
      </c>
      <c r="M61" s="34"/>
      <c r="N61" s="76"/>
      <c r="O61" s="92">
        <v>-2.921055833913222E-2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0.97078944166086778</v>
      </c>
      <c r="G62" s="95"/>
      <c r="H62" s="82"/>
      <c r="I62" s="94">
        <v>0.97078944166086778</v>
      </c>
      <c r="J62" s="81"/>
      <c r="K62" s="82"/>
      <c r="L62" s="94">
        <v>0.97078944166086778</v>
      </c>
      <c r="M62" s="81"/>
      <c r="N62" s="82"/>
      <c r="O62" s="94">
        <v>0.97078944166086778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1074183.5356774512</v>
      </c>
      <c r="G72" s="34"/>
      <c r="H72" s="76"/>
      <c r="I72" s="108">
        <f>I50</f>
        <v>1116955.4097177009</v>
      </c>
      <c r="J72" s="34"/>
      <c r="K72" s="76"/>
      <c r="L72" s="108">
        <f>L50</f>
        <v>1162024.5340523287</v>
      </c>
      <c r="M72" s="34"/>
      <c r="N72" s="76"/>
      <c r="O72" s="108">
        <f>O50</f>
        <v>1209346.4846171548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587201.15617083828</v>
      </c>
      <c r="G73" s="34"/>
      <c r="H73" s="76"/>
      <c r="I73" s="110">
        <f>F81</f>
        <v>530077.6993892279</v>
      </c>
      <c r="J73" s="34"/>
      <c r="K73" s="76"/>
      <c r="L73" s="110">
        <f>I81</f>
        <v>567968.30168329587</v>
      </c>
      <c r="M73" s="34"/>
      <c r="N73" s="76"/>
      <c r="O73" s="110">
        <f>L81</f>
        <v>605985.93832511234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445879.93480083917</v>
      </c>
      <c r="G74" s="34"/>
      <c r="H74" s="76"/>
      <c r="I74" s="110">
        <f>F82</f>
        <v>544105.83628822328</v>
      </c>
      <c r="J74" s="34"/>
      <c r="K74" s="76"/>
      <c r="L74" s="110">
        <f>I82</f>
        <v>548987.10803440504</v>
      </c>
      <c r="M74" s="34"/>
      <c r="N74" s="76"/>
      <c r="O74" s="110">
        <f>L82</f>
        <v>556038.59572721634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1033081.0909716774</v>
      </c>
      <c r="G75" s="34"/>
      <c r="H75" s="76"/>
      <c r="I75" s="111">
        <f>SUM(I73:I74)</f>
        <v>1074183.5356774512</v>
      </c>
      <c r="J75" s="34"/>
      <c r="K75" s="76"/>
      <c r="L75" s="111">
        <f>SUM(L73:L74)</f>
        <v>1116955.4097177009</v>
      </c>
      <c r="M75" s="34"/>
      <c r="N75" s="76"/>
      <c r="O75" s="111">
        <f>SUM(O73:O74)</f>
        <v>1162024.5340523287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1.0397862714408161</v>
      </c>
      <c r="G76" s="81"/>
      <c r="H76" s="82"/>
      <c r="I76" s="112">
        <f>I72/I75</f>
        <v>1.0398180316674421</v>
      </c>
      <c r="J76" s="81"/>
      <c r="K76" s="82"/>
      <c r="L76" s="112">
        <f>L72/L75</f>
        <v>1.0403499763218109</v>
      </c>
      <c r="M76" s="81"/>
      <c r="N76" s="82"/>
      <c r="O76" s="112">
        <f>O72/O75</f>
        <v>1.040723710367629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1074183.5356774512</v>
      </c>
      <c r="G78" s="73"/>
      <c r="H78" s="73"/>
      <c r="I78" s="115">
        <f>IF(I72&lt;=I75*I71,I72,I75*I71)</f>
        <v>1116955.4097177009</v>
      </c>
      <c r="J78" s="73"/>
      <c r="K78" s="73"/>
      <c r="L78" s="115">
        <f>IF(L72&lt;=L75*L71,L72,L75*L71)</f>
        <v>1162024.5340523287</v>
      </c>
      <c r="M78" s="73"/>
      <c r="N78" s="73"/>
      <c r="O78" s="115">
        <f>IF(O72&lt;=O75*O71,O72,O75*O71)</f>
        <v>1209346.4846171548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530077.6993892279</v>
      </c>
      <c r="E81" s="120">
        <f>E23</f>
        <v>0</v>
      </c>
      <c r="F81" s="115">
        <f>D81+E81</f>
        <v>530077.6993892279</v>
      </c>
      <c r="G81" s="119">
        <f>G23-I79</f>
        <v>567968.30168329587</v>
      </c>
      <c r="H81" s="120">
        <f>H23</f>
        <v>0</v>
      </c>
      <c r="I81" s="115">
        <f>G81+H81</f>
        <v>567968.30168329587</v>
      </c>
      <c r="J81" s="119">
        <f>J23-L79</f>
        <v>605985.93832511234</v>
      </c>
      <c r="K81" s="120">
        <f>K23</f>
        <v>0</v>
      </c>
      <c r="L81" s="115">
        <f>J81+K81</f>
        <v>605985.93832511234</v>
      </c>
      <c r="M81" s="119">
        <f>M23-O79</f>
        <v>617781.62082511233</v>
      </c>
      <c r="N81" s="120">
        <f>N23</f>
        <v>0</v>
      </c>
      <c r="O81" s="115">
        <f>M81+N81</f>
        <v>617781.62082511233</v>
      </c>
    </row>
    <row r="82" spans="1:52" s="14" customFormat="1" ht="20" customHeight="1" thickBot="1">
      <c r="B82" s="118" t="s">
        <v>72</v>
      </c>
      <c r="D82" s="121">
        <f>D50-D81-F79</f>
        <v>544105.83628822328</v>
      </c>
      <c r="E82" s="122">
        <f>E50-E81</f>
        <v>0</v>
      </c>
      <c r="F82" s="123">
        <f>D82+E82</f>
        <v>544105.83628822328</v>
      </c>
      <c r="G82" s="121">
        <f>G49-G81-I79</f>
        <v>548987.10803440504</v>
      </c>
      <c r="H82" s="122">
        <f>H50-H81</f>
        <v>0</v>
      </c>
      <c r="I82" s="123">
        <f>G82+H82</f>
        <v>548987.10803440504</v>
      </c>
      <c r="J82" s="121">
        <f>J50-J81-L79</f>
        <v>556038.59572721634</v>
      </c>
      <c r="K82" s="122">
        <f>K50-K81</f>
        <v>0</v>
      </c>
      <c r="L82" s="123">
        <f>J82+K82</f>
        <v>556038.59572721634</v>
      </c>
      <c r="M82" s="121">
        <f>M49-M81-O79</f>
        <v>591564.86379204248</v>
      </c>
      <c r="N82" s="122">
        <f>N50-N81</f>
        <v>0</v>
      </c>
      <c r="O82" s="123">
        <f>M82+N82</f>
        <v>591564.86379204248</v>
      </c>
    </row>
    <row r="83" spans="1:52" s="124" customFormat="1" ht="17.25" customHeight="1" thickBot="1">
      <c r="B83" s="125" t="s">
        <v>73</v>
      </c>
      <c r="C83" s="14"/>
      <c r="D83" s="126">
        <f>SUM(D81:D82)</f>
        <v>1074183.5356774512</v>
      </c>
      <c r="E83" s="127">
        <f t="shared" ref="E83:O83" si="25">SUM(E81:E82)</f>
        <v>0</v>
      </c>
      <c r="F83" s="128">
        <f t="shared" si="25"/>
        <v>1074183.5356774512</v>
      </c>
      <c r="G83" s="126">
        <f t="shared" si="25"/>
        <v>1116955.4097177009</v>
      </c>
      <c r="H83" s="127">
        <f t="shared" si="25"/>
        <v>0</v>
      </c>
      <c r="I83" s="128">
        <f t="shared" si="25"/>
        <v>1116955.4097177009</v>
      </c>
      <c r="J83" s="126">
        <f t="shared" si="25"/>
        <v>1162024.5340523287</v>
      </c>
      <c r="K83" s="127">
        <f t="shared" si="25"/>
        <v>0</v>
      </c>
      <c r="L83" s="128">
        <f t="shared" si="25"/>
        <v>1162024.5340523287</v>
      </c>
      <c r="M83" s="126">
        <f t="shared" si="25"/>
        <v>1209346.4846171548</v>
      </c>
      <c r="N83" s="127">
        <f t="shared" si="25"/>
        <v>0</v>
      </c>
      <c r="O83" s="128">
        <f t="shared" si="25"/>
        <v>1209346.4846171548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530077.6993892279</v>
      </c>
      <c r="G88" s="72"/>
      <c r="H88" s="73"/>
      <c r="I88" s="136">
        <f>I81-I85</f>
        <v>567968.30168329587</v>
      </c>
      <c r="J88" s="72"/>
      <c r="K88" s="73"/>
      <c r="L88" s="136">
        <f>L81-L85</f>
        <v>605985.93832511234</v>
      </c>
      <c r="M88" s="72"/>
      <c r="N88" s="73"/>
      <c r="O88" s="136">
        <f>O81-O85</f>
        <v>617781.62082511233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544105.83628822328</v>
      </c>
      <c r="G89" s="34"/>
      <c r="H89" s="76"/>
      <c r="I89" s="138">
        <f>I82-I86</f>
        <v>548987.10803440504</v>
      </c>
      <c r="J89" s="34"/>
      <c r="K89" s="76"/>
      <c r="L89" s="138">
        <f>L82-L86</f>
        <v>556038.59572721634</v>
      </c>
      <c r="M89" s="34"/>
      <c r="N89" s="76"/>
      <c r="O89" s="138">
        <f>O82-O86</f>
        <v>591564.86379204248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1074183.5356774512</v>
      </c>
      <c r="G90" s="81"/>
      <c r="H90" s="82"/>
      <c r="I90" s="139">
        <f>+I88+I89</f>
        <v>1116955.4097177009</v>
      </c>
      <c r="J90" s="81"/>
      <c r="K90" s="82"/>
      <c r="L90" s="139">
        <f>+L88+L89</f>
        <v>1162024.5340523287</v>
      </c>
      <c r="M90" s="81"/>
      <c r="N90" s="82"/>
      <c r="O90" s="139">
        <f>+O88+O89</f>
        <v>1209346.4846171548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-378.01896619187028</v>
      </c>
      <c r="E92" s="143">
        <v>0</v>
      </c>
      <c r="F92" s="144">
        <f>D92+E92</f>
        <v>-378.01896619187028</v>
      </c>
      <c r="G92" s="142">
        <v>-17920.317574873097</v>
      </c>
      <c r="H92" s="143">
        <v>0</v>
      </c>
      <c r="I92" s="144">
        <f>G92+H92</f>
        <v>-17920.317574873097</v>
      </c>
      <c r="J92" s="142">
        <v>-17920.317574873097</v>
      </c>
      <c r="K92" s="143">
        <v>0</v>
      </c>
      <c r="L92" s="144">
        <f>J92+K92</f>
        <v>-17920.317574873097</v>
      </c>
      <c r="M92" s="142">
        <v>-17920.317574873097</v>
      </c>
      <c r="N92" s="143">
        <v>0</v>
      </c>
      <c r="O92" s="144">
        <f>M92+N92</f>
        <v>-17920.317574873097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1123820.8524593927</v>
      </c>
      <c r="E96" s="166">
        <f>E6+E7+E8+E9+E11+E25+E30+E40+E42+E21+E45</f>
        <v>0</v>
      </c>
      <c r="F96" s="166">
        <f t="shared" ref="F96" si="26">F6+F7+F8+F9+F11+F25+F30+F40+F42</f>
        <v>1123820.8524593927</v>
      </c>
      <c r="G96" s="166">
        <f t="shared" ref="G96" si="27">G6+G7+G8+G9+G11+G25+G30+G40+G42+G21+G45</f>
        <v>1137617.1449921669</v>
      </c>
      <c r="H96" s="166">
        <f t="shared" ref="H96" si="28">H6+H7+H8+H9+H11+H25+H30+H40+H42</f>
        <v>0</v>
      </c>
      <c r="I96" s="166">
        <f t="shared" ref="I96" si="29">I6+I7+I8+I9+I11+I25+I30+I40+I42+I21+I45</f>
        <v>1137617.1449921669</v>
      </c>
      <c r="J96" s="166">
        <f t="shared" ref="J96" si="30">J6+J7+J8+J9+J11+J25+J30+J40+J42</f>
        <v>1132307.9739349782</v>
      </c>
      <c r="K96" s="166">
        <f t="shared" ref="K96" si="31">K6+K7+K8+K9+K11+K25+K30+K40+K42+K21+K45</f>
        <v>0</v>
      </c>
      <c r="L96" s="166">
        <f t="shared" ref="L96" si="32">L6+L7+L8+L9+L11+L25+L30+L40+L42</f>
        <v>1132307.9739349782</v>
      </c>
      <c r="M96" s="166">
        <f t="shared" ref="M96" si="33">M6+M7+M8+M9+M11+M25+M30+M40+M42+M21+M45</f>
        <v>1120194.9007498045</v>
      </c>
      <c r="N96" s="166">
        <f t="shared" ref="N96" si="34">N6+N7+N8+N9+N11+N25+N30+N40+N42</f>
        <v>0</v>
      </c>
      <c r="O96" s="166">
        <f t="shared" ref="O96" si="35">O6+O7+O8+O9+O11+O25+O30+O40+O42+O21+O45</f>
        <v>1120194.9007498045</v>
      </c>
    </row>
    <row r="97" spans="4:15" s="14" customFormat="1">
      <c r="D97" s="166">
        <f>D96-D15-D19</f>
        <v>1085851.5049106106</v>
      </c>
      <c r="E97" s="166">
        <f>E96-E15-E19</f>
        <v>0</v>
      </c>
      <c r="F97" s="166">
        <f t="shared" ref="F97:O97" si="36">F96-F15-F19</f>
        <v>1085851.5049106106</v>
      </c>
      <c r="G97" s="166">
        <f t="shared" si="36"/>
        <v>1099685.7288595175</v>
      </c>
      <c r="H97" s="166">
        <f t="shared" si="36"/>
        <v>0</v>
      </c>
      <c r="I97" s="166">
        <f t="shared" si="36"/>
        <v>1099685.7288595175</v>
      </c>
      <c r="J97" s="166">
        <f t="shared" si="36"/>
        <v>1094376.5578023288</v>
      </c>
      <c r="K97" s="166">
        <f t="shared" si="36"/>
        <v>0</v>
      </c>
      <c r="L97" s="166">
        <f t="shared" si="36"/>
        <v>1094376.5578023288</v>
      </c>
      <c r="M97" s="166">
        <f t="shared" si="36"/>
        <v>1082263.484617155</v>
      </c>
      <c r="N97" s="166">
        <f t="shared" si="36"/>
        <v>0</v>
      </c>
      <c r="O97" s="166">
        <f t="shared" si="36"/>
        <v>1082263.484617155</v>
      </c>
    </row>
    <row r="98" spans="4:15" s="14" customFormat="1">
      <c r="D98" s="166">
        <f>D20+D44</f>
        <v>-11667.96923315934</v>
      </c>
      <c r="E98" s="166">
        <f>E20+E44</f>
        <v>0</v>
      </c>
      <c r="F98" s="166">
        <f t="shared" ref="F98:O98" si="37">F20+F44</f>
        <v>-11667.96923315934</v>
      </c>
      <c r="G98" s="166">
        <f t="shared" si="37"/>
        <v>17269.680858183492</v>
      </c>
      <c r="H98" s="166">
        <f t="shared" si="37"/>
        <v>0</v>
      </c>
      <c r="I98" s="166">
        <f t="shared" si="37"/>
        <v>17269.680858183492</v>
      </c>
      <c r="J98" s="166">
        <f t="shared" si="37"/>
        <v>67647.976250000007</v>
      </c>
      <c r="K98" s="166">
        <f t="shared" si="37"/>
        <v>0</v>
      </c>
      <c r="L98" s="166">
        <f t="shared" si="37"/>
        <v>67647.976250000007</v>
      </c>
      <c r="M98" s="166">
        <f t="shared" si="37"/>
        <v>127083</v>
      </c>
      <c r="N98" s="166">
        <f t="shared" si="37"/>
        <v>0</v>
      </c>
      <c r="O98" s="166">
        <f t="shared" si="37"/>
        <v>127083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40" priority="7" operator="containsText" text="ERRORE">
      <formula>NOT(ISERROR(SEARCH("ERRORE",F81)))</formula>
    </cfRule>
  </conditionalFormatting>
  <conditionalFormatting sqref="I83">
    <cfRule type="containsText" dxfId="39" priority="6" operator="containsText" text="ERRORE">
      <formula>NOT(ISERROR(SEARCH("ERRORE",I83)))</formula>
    </cfRule>
  </conditionalFormatting>
  <conditionalFormatting sqref="I81:I82">
    <cfRule type="containsText" dxfId="38" priority="5" operator="containsText" text="ERRORE">
      <formula>NOT(ISERROR(SEARCH("ERRORE",I81)))</formula>
    </cfRule>
  </conditionalFormatting>
  <conditionalFormatting sqref="L83">
    <cfRule type="containsText" dxfId="37" priority="4" operator="containsText" text="ERRORE">
      <formula>NOT(ISERROR(SEARCH("ERRORE",L83)))</formula>
    </cfRule>
  </conditionalFormatting>
  <conditionalFormatting sqref="L81:L82">
    <cfRule type="containsText" dxfId="36" priority="3" operator="containsText" text="ERRORE">
      <formula>NOT(ISERROR(SEARCH("ERRORE",L81)))</formula>
    </cfRule>
  </conditionalFormatting>
  <conditionalFormatting sqref="O83">
    <cfRule type="containsText" dxfId="35" priority="2" operator="containsText" text="ERRORE">
      <formula>NOT(ISERROR(SEARCH("ERRORE",O83)))</formula>
    </cfRule>
  </conditionalFormatting>
  <conditionalFormatting sqref="O81:O82">
    <cfRule type="containsText" dxfId="34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C34" zoomScale="70" zoomScaleNormal="70" zoomScalePageLayoutView="70" workbookViewId="0">
      <selection activeCell="P16" sqref="P16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113</v>
      </c>
      <c r="B1" s="2" t="str">
        <f>"       PEF 2022 - 2025"&amp;" - "&amp;A1</f>
        <v xml:space="preserve">       PEF 2022 - 2025 - Torre di Mosto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156</v>
      </c>
      <c r="E4" s="188"/>
      <c r="F4" s="189"/>
      <c r="G4" s="187" t="str">
        <f>D4</f>
        <v>Ambito tariffario: TORRE DI MOSTO</v>
      </c>
      <c r="H4" s="188"/>
      <c r="I4" s="189"/>
      <c r="J4" s="187" t="str">
        <f>D4</f>
        <v>Ambito tariffario: TORRE DI MOSTO</v>
      </c>
      <c r="K4" s="188"/>
      <c r="L4" s="189"/>
      <c r="M4" s="187" t="str">
        <f>D4</f>
        <v>Ambito tariffario: TORRE DI MOSTO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66953.038538922381</v>
      </c>
      <c r="E6" s="22">
        <v>0</v>
      </c>
      <c r="F6" s="23">
        <f>D6+E6</f>
        <v>66953.038538922381</v>
      </c>
      <c r="G6" s="22">
        <v>69259.825182767236</v>
      </c>
      <c r="H6" s="22">
        <v>0</v>
      </c>
      <c r="I6" s="23">
        <f>G6+H6</f>
        <v>69259.825182767236</v>
      </c>
      <c r="J6" s="22">
        <v>69259.825182767236</v>
      </c>
      <c r="K6" s="22">
        <v>0</v>
      </c>
      <c r="L6" s="23">
        <f>J6+K6</f>
        <v>69259.825182767236</v>
      </c>
      <c r="M6" s="22">
        <v>69259.825182767236</v>
      </c>
      <c r="N6" s="22">
        <v>0</v>
      </c>
      <c r="O6" s="23">
        <f>M6+N6</f>
        <v>69259.825182767236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77874.243353048616</v>
      </c>
      <c r="E7" s="22">
        <v>0</v>
      </c>
      <c r="F7" s="23">
        <f t="shared" ref="F7:F20" si="0">D7+E7</f>
        <v>77874.243353048616</v>
      </c>
      <c r="G7" s="22">
        <v>81517.316675170063</v>
      </c>
      <c r="H7" s="22">
        <v>0</v>
      </c>
      <c r="I7" s="23">
        <f t="shared" ref="I7:I13" si="1">G7+H7</f>
        <v>81517.316675170063</v>
      </c>
      <c r="J7" s="22">
        <v>81517.316675170063</v>
      </c>
      <c r="K7" s="22">
        <v>0</v>
      </c>
      <c r="L7" s="23">
        <f t="shared" ref="L7:L12" si="2">J7+K7</f>
        <v>81517.316675170063</v>
      </c>
      <c r="M7" s="22">
        <v>81517.316675170063</v>
      </c>
      <c r="N7" s="22">
        <v>0</v>
      </c>
      <c r="O7" s="23">
        <f t="shared" ref="O7:O13" si="3">M7+N7</f>
        <v>81517.316675170063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78015.100849856768</v>
      </c>
      <c r="E8" s="22">
        <v>0</v>
      </c>
      <c r="F8" s="23">
        <f t="shared" si="0"/>
        <v>78015.100849856768</v>
      </c>
      <c r="G8" s="22">
        <v>81666.676974758768</v>
      </c>
      <c r="H8" s="22">
        <v>0</v>
      </c>
      <c r="I8" s="23">
        <f t="shared" si="1"/>
        <v>81666.676974758768</v>
      </c>
      <c r="J8" s="22">
        <v>81666.676974758768</v>
      </c>
      <c r="K8" s="22">
        <v>0</v>
      </c>
      <c r="L8" s="23">
        <f t="shared" si="2"/>
        <v>81666.676974758768</v>
      </c>
      <c r="M8" s="22">
        <v>81666.676974758768</v>
      </c>
      <c r="N8" s="22">
        <v>0</v>
      </c>
      <c r="O8" s="23">
        <f t="shared" si="3"/>
        <v>81666.676974758768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151816.12098873017</v>
      </c>
      <c r="E9" s="22">
        <v>0</v>
      </c>
      <c r="F9" s="23">
        <f t="shared" si="0"/>
        <v>151816.12098873017</v>
      </c>
      <c r="G9" s="22">
        <v>156103.9850394965</v>
      </c>
      <c r="H9" s="22">
        <v>0</v>
      </c>
      <c r="I9" s="23">
        <f t="shared" si="1"/>
        <v>156103.9850394965</v>
      </c>
      <c r="J9" s="22">
        <v>156103.9850394965</v>
      </c>
      <c r="K9" s="22">
        <v>0</v>
      </c>
      <c r="L9" s="23">
        <f t="shared" si="2"/>
        <v>156103.9850394965</v>
      </c>
      <c r="M9" s="22">
        <v>156103.9850394965</v>
      </c>
      <c r="N9" s="22">
        <v>0</v>
      </c>
      <c r="O9" s="23">
        <f t="shared" si="3"/>
        <v>156103.9850394965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1655.9835689199419</v>
      </c>
      <c r="E11" s="22">
        <v>0</v>
      </c>
      <c r="F11" s="23">
        <f t="shared" si="0"/>
        <v>1655.9835689199419</v>
      </c>
      <c r="G11" s="22">
        <v>1655.9835689199419</v>
      </c>
      <c r="H11" s="22">
        <v>0</v>
      </c>
      <c r="I11" s="23">
        <f t="shared" si="1"/>
        <v>1655.9835689199419</v>
      </c>
      <c r="J11" s="22">
        <v>1655.9835689199419</v>
      </c>
      <c r="K11" s="22">
        <v>0</v>
      </c>
      <c r="L11" s="23">
        <f t="shared" si="2"/>
        <v>1655.9835689199419</v>
      </c>
      <c r="M11" s="22">
        <v>1655.9835689199419</v>
      </c>
      <c r="N11" s="22">
        <v>0</v>
      </c>
      <c r="O11" s="23">
        <f t="shared" si="3"/>
        <v>1655.9835689199419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39042.454062717843</v>
      </c>
      <c r="E13" s="22">
        <v>0</v>
      </c>
      <c r="F13" s="23">
        <f t="shared" si="0"/>
        <v>39042.454062717843</v>
      </c>
      <c r="G13" s="22">
        <v>39003.450612105742</v>
      </c>
      <c r="H13" s="22">
        <v>0</v>
      </c>
      <c r="I13" s="23">
        <f t="shared" si="1"/>
        <v>39003.450612105742</v>
      </c>
      <c r="J13" s="22">
        <v>39003.450612105742</v>
      </c>
      <c r="K13" s="22">
        <v>0</v>
      </c>
      <c r="L13" s="23">
        <f>J13+K13</f>
        <v>39003.450612105742</v>
      </c>
      <c r="M13" s="22">
        <v>39003.450612105742</v>
      </c>
      <c r="N13" s="22">
        <v>0</v>
      </c>
      <c r="O13" s="23">
        <f t="shared" si="3"/>
        <v>39003.450612105742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177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23425.472437630706</v>
      </c>
      <c r="E15" s="22">
        <v>0</v>
      </c>
      <c r="F15" s="23">
        <f t="shared" si="0"/>
        <v>23425.472437630706</v>
      </c>
      <c r="G15" s="22">
        <v>23402.070367263444</v>
      </c>
      <c r="H15" s="22">
        <v>0</v>
      </c>
      <c r="I15" s="23">
        <f t="shared" ref="I15:I16" si="4">G15+H15</f>
        <v>23402.070367263444</v>
      </c>
      <c r="J15" s="22">
        <v>23402.070367263444</v>
      </c>
      <c r="K15" s="22">
        <v>0</v>
      </c>
      <c r="L15" s="23">
        <f t="shared" ref="L15:L16" si="5">J15+K15</f>
        <v>23402.070367263444</v>
      </c>
      <c r="M15" s="22">
        <v>23402.070367263444</v>
      </c>
      <c r="N15" s="22">
        <v>0</v>
      </c>
      <c r="O15" s="23">
        <f t="shared" ref="O15:O16" si="6">M15+N15</f>
        <v>23402.070367263444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0</v>
      </c>
      <c r="E16" s="22">
        <v>0</v>
      </c>
      <c r="F16" s="23">
        <f t="shared" si="0"/>
        <v>0</v>
      </c>
      <c r="G16" s="22">
        <v>0</v>
      </c>
      <c r="H16" s="22">
        <v>0</v>
      </c>
      <c r="I16" s="23">
        <f t="shared" si="4"/>
        <v>0</v>
      </c>
      <c r="J16" s="22">
        <v>0</v>
      </c>
      <c r="K16" s="22">
        <v>0</v>
      </c>
      <c r="L16" s="23">
        <f t="shared" si="5"/>
        <v>0</v>
      </c>
      <c r="M16" s="22">
        <v>0</v>
      </c>
      <c r="N16" s="22">
        <v>0</v>
      </c>
      <c r="O16" s="23">
        <f t="shared" si="6"/>
        <v>0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0</v>
      </c>
      <c r="E19" s="22">
        <v>0</v>
      </c>
      <c r="F19" s="23">
        <f t="shared" si="0"/>
        <v>0</v>
      </c>
      <c r="G19" s="22">
        <v>0</v>
      </c>
      <c r="H19" s="22">
        <v>0</v>
      </c>
      <c r="I19" s="23">
        <f t="shared" ref="I19:I20" si="7">G19+H19</f>
        <v>0</v>
      </c>
      <c r="J19" s="22">
        <v>0</v>
      </c>
      <c r="K19" s="22">
        <v>0</v>
      </c>
      <c r="L19" s="23">
        <f t="shared" ref="L19:L20" si="8">J19+K19</f>
        <v>0</v>
      </c>
      <c r="M19" s="32">
        <v>0</v>
      </c>
      <c r="N19" s="33">
        <v>0</v>
      </c>
      <c r="O19" s="23">
        <f t="shared" ref="O19:O20" si="9">M19+N19</f>
        <v>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22"/>
      <c r="F20" s="23">
        <f t="shared" si="0"/>
        <v>0</v>
      </c>
      <c r="G20" s="22">
        <v>0</v>
      </c>
      <c r="H20" s="22">
        <v>-4746.721817845716</v>
      </c>
      <c r="I20" s="23">
        <f t="shared" si="7"/>
        <v>-4746.721817845716</v>
      </c>
      <c r="J20" s="22">
        <v>0</v>
      </c>
      <c r="K20" s="22">
        <v>0</v>
      </c>
      <c r="L20" s="23">
        <f t="shared" si="8"/>
        <v>0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35288.901486184724</v>
      </c>
      <c r="F21" s="23">
        <f>E21</f>
        <v>35288.901486184724</v>
      </c>
      <c r="G21" s="34"/>
      <c r="H21" s="22">
        <f>G23*0.1</f>
        <v>36680.171707384907</v>
      </c>
      <c r="I21" s="23">
        <f>H21</f>
        <v>36680.171707384907</v>
      </c>
      <c r="J21" s="34"/>
      <c r="K21" s="22">
        <f>J23*0.1</f>
        <v>36680.171707384907</v>
      </c>
      <c r="L21" s="23">
        <f>K21</f>
        <v>36680.171707384907</v>
      </c>
      <c r="M21" s="34"/>
      <c r="N21" s="22">
        <f>M23*0.1</f>
        <v>36680.171707384907</v>
      </c>
      <c r="O21" s="23">
        <f>N21</f>
        <v>36680.171707384907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352889.01486184722</v>
      </c>
      <c r="E23" s="38">
        <f>E6+E7+E8+E9+E10+E11+E12-E15-E19+E20+E21</f>
        <v>35288.901486184724</v>
      </c>
      <c r="F23" s="38">
        <f>D23+E23</f>
        <v>388177.91634803195</v>
      </c>
      <c r="G23" s="38">
        <f>G6+G7+G8+G9+G10+G11+G12-G15-G19+G20+G22</f>
        <v>366801.71707384905</v>
      </c>
      <c r="H23" s="38">
        <f>H6+H7+H8+H9+H10+H11+H12-H15-H19+H20+H21+H22</f>
        <v>31933.449889539192</v>
      </c>
      <c r="I23" s="38">
        <f>G23+H23</f>
        <v>398735.16696338827</v>
      </c>
      <c r="J23" s="38">
        <f>J6+J7+J8+J9+J10+J11+J12-J15-J19+J20+J22</f>
        <v>366801.71707384905</v>
      </c>
      <c r="K23" s="38">
        <f>K6+K7+K8+K9+K10+K11+K12-K15-K19+K20+K21+K22</f>
        <v>36680.171707384907</v>
      </c>
      <c r="L23" s="38">
        <f>J23+K23</f>
        <v>403481.88878123398</v>
      </c>
      <c r="M23" s="38">
        <f>M6+M7+M8+M9+M10+M11+M12-M15-M19+M20+M22</f>
        <v>366801.71707384905</v>
      </c>
      <c r="N23" s="38">
        <f>N6+N7+N8+N9+N10+N11+N12-N15-N19+N20+N21+N22</f>
        <v>36680.171707384907</v>
      </c>
      <c r="O23" s="38">
        <f>M23+N23</f>
        <v>403481.88878123398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79408.901981922681</v>
      </c>
      <c r="E25" s="44">
        <v>0</v>
      </c>
      <c r="F25" s="45">
        <f t="shared" ref="F25:F44" si="13">D25+E25</f>
        <v>79408.901981922681</v>
      </c>
      <c r="G25" s="44">
        <v>83002.710858655177</v>
      </c>
      <c r="H25" s="44">
        <v>0</v>
      </c>
      <c r="I25" s="45">
        <f t="shared" ref="I25:I33" si="14">G25+H25</f>
        <v>83002.710858655177</v>
      </c>
      <c r="J25" s="44">
        <v>83002.710858655177</v>
      </c>
      <c r="K25" s="44">
        <v>0</v>
      </c>
      <c r="L25" s="45">
        <f t="shared" ref="L25:L44" si="15">J25+K25</f>
        <v>83002.710858655177</v>
      </c>
      <c r="M25" s="44">
        <v>83002.710858655177</v>
      </c>
      <c r="N25" s="44">
        <v>0</v>
      </c>
      <c r="O25" s="45">
        <f t="shared" ref="O25:O43" si="16">M25+N25</f>
        <v>83002.710858655177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17997.386556223333</v>
      </c>
      <c r="E26" s="22">
        <v>0</v>
      </c>
      <c r="F26" s="36">
        <f t="shared" si="13"/>
        <v>17997.386556223333</v>
      </c>
      <c r="G26" s="22">
        <v>18524.605735103378</v>
      </c>
      <c r="H26" s="22">
        <v>0</v>
      </c>
      <c r="I26" s="36">
        <f t="shared" si="14"/>
        <v>18524.605735103378</v>
      </c>
      <c r="J26" s="22">
        <v>18524.605735103378</v>
      </c>
      <c r="K26" s="22">
        <v>0</v>
      </c>
      <c r="L26" s="36">
        <f t="shared" si="15"/>
        <v>18524.605735103378</v>
      </c>
      <c r="M26" s="22">
        <v>18524.605735103378</v>
      </c>
      <c r="N26" s="22">
        <v>0</v>
      </c>
      <c r="O26" s="36">
        <f t="shared" si="16"/>
        <v>18524.605735103378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47455.94865237466</v>
      </c>
      <c r="E27" s="47">
        <v>12424.999999999998</v>
      </c>
      <c r="F27" s="48">
        <f t="shared" si="13"/>
        <v>59880.94865237466</v>
      </c>
      <c r="G27" s="47">
        <v>49283.305736522714</v>
      </c>
      <c r="H27" s="47">
        <v>12425</v>
      </c>
      <c r="I27" s="48">
        <f t="shared" si="14"/>
        <v>61708.305736522714</v>
      </c>
      <c r="J27" s="47">
        <v>49283.305736522714</v>
      </c>
      <c r="K27" s="47">
        <v>12425</v>
      </c>
      <c r="L27" s="48">
        <f t="shared" si="15"/>
        <v>61708.305736522714</v>
      </c>
      <c r="M27" s="47">
        <v>49283.305736522714</v>
      </c>
      <c r="N27" s="47">
        <v>12425</v>
      </c>
      <c r="O27" s="48">
        <f t="shared" si="16"/>
        <v>61708.305736522714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1226.3805076694821</v>
      </c>
      <c r="E29" s="47">
        <v>2843</v>
      </c>
      <c r="F29" s="48">
        <f t="shared" si="13"/>
        <v>4069.3805076694821</v>
      </c>
      <c r="G29" s="47">
        <v>1235.1910194013672</v>
      </c>
      <c r="H29" s="47">
        <v>2843</v>
      </c>
      <c r="I29" s="48">
        <f t="shared" si="14"/>
        <v>4078.1910194013672</v>
      </c>
      <c r="J29" s="47">
        <v>1235.1910194013672</v>
      </c>
      <c r="K29" s="47">
        <v>2843</v>
      </c>
      <c r="L29" s="48">
        <f t="shared" si="15"/>
        <v>4078.1910194013672</v>
      </c>
      <c r="M29" s="47">
        <v>1235.1910194013672</v>
      </c>
      <c r="N29" s="47">
        <v>2843</v>
      </c>
      <c r="O29" s="48">
        <f t="shared" si="16"/>
        <v>4078.1910194013672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66679.71571626747</v>
      </c>
      <c r="E30" s="51">
        <f>+E26+E27+E28+E29</f>
        <v>15267.999999999998</v>
      </c>
      <c r="F30" s="52">
        <f t="shared" si="13"/>
        <v>81947.71571626747</v>
      </c>
      <c r="G30" s="51">
        <f>+G26+G27+G28+G29</f>
        <v>69043.102491027457</v>
      </c>
      <c r="H30" s="51">
        <f>+H26+H27+H28+H29</f>
        <v>15268</v>
      </c>
      <c r="I30" s="52">
        <f t="shared" si="14"/>
        <v>84311.102491027457</v>
      </c>
      <c r="J30" s="51">
        <f>+J26+J27+J28+J29</f>
        <v>69043.102491027457</v>
      </c>
      <c r="K30" s="51">
        <f>+K26+K27+K28+K29</f>
        <v>15268</v>
      </c>
      <c r="L30" s="52">
        <f t="shared" si="15"/>
        <v>84311.102491027457</v>
      </c>
      <c r="M30" s="51">
        <f>+M26+M27+M28+M29</f>
        <v>69043.102491027457</v>
      </c>
      <c r="N30" s="51">
        <f>+N26+N27+N28+N29</f>
        <v>15268</v>
      </c>
      <c r="O30" s="52">
        <f t="shared" si="16"/>
        <v>84311.102491027457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29287.833341865113</v>
      </c>
      <c r="E31" s="53">
        <v>0</v>
      </c>
      <c r="F31" s="48">
        <f t="shared" si="13"/>
        <v>29287.833341865113</v>
      </c>
      <c r="G31" s="147">
        <f>VLOOKUP($A$1,REM_ToolEnrico!$B$5:$J$38,4,FALSE)</f>
        <v>28311.053274705588</v>
      </c>
      <c r="H31" s="53">
        <v>0</v>
      </c>
      <c r="I31" s="48">
        <f t="shared" si="14"/>
        <v>28311.053274705588</v>
      </c>
      <c r="J31" s="147">
        <f>VLOOKUP($A$1,REM_ToolEnrico!$B$5:$J$38,6,FALSE)</f>
        <v>22416.262467739609</v>
      </c>
      <c r="K31" s="53">
        <v>0</v>
      </c>
      <c r="L31" s="48">
        <f t="shared" si="15"/>
        <v>22416.262467739609</v>
      </c>
      <c r="M31" s="147">
        <f>VLOOKUP($A$1,REM_ToolEnrico!$B$5:$J$38,8,FALSE)</f>
        <v>23742.364261328723</v>
      </c>
      <c r="N31" s="53">
        <v>0</v>
      </c>
      <c r="O31" s="48">
        <f t="shared" si="16"/>
        <v>23742.364261328723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20060.039999999997</v>
      </c>
      <c r="F32" s="48">
        <f t="shared" si="13"/>
        <v>20060.039999999997</v>
      </c>
      <c r="G32" s="54">
        <f>+G33+G34+G35+G36</f>
        <v>0</v>
      </c>
      <c r="H32" s="54">
        <f>+H33+H34+H35+H36</f>
        <v>20040</v>
      </c>
      <c r="I32" s="48">
        <f t="shared" si="14"/>
        <v>20040</v>
      </c>
      <c r="J32" s="54">
        <f>+J33+J34+J35+J36</f>
        <v>0</v>
      </c>
      <c r="K32" s="54">
        <f>+K33+K34+K35+K36</f>
        <v>20040</v>
      </c>
      <c r="L32" s="48">
        <f t="shared" si="15"/>
        <v>20040</v>
      </c>
      <c r="M32" s="54">
        <f>+M33+M34+M35+M36</f>
        <v>0</v>
      </c>
      <c r="N32" s="54">
        <f>+N33+N34+N35+N36</f>
        <v>20040</v>
      </c>
      <c r="O32" s="48">
        <f t="shared" si="16"/>
        <v>20040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20060.039999999997</v>
      </c>
      <c r="F34" s="48">
        <f>D34+E34</f>
        <v>20060.039999999997</v>
      </c>
      <c r="G34" s="47">
        <v>0</v>
      </c>
      <c r="H34" s="47">
        <v>20040</v>
      </c>
      <c r="I34" s="48">
        <f>G34+H34</f>
        <v>20040</v>
      </c>
      <c r="J34" s="47">
        <v>0</v>
      </c>
      <c r="K34" s="158">
        <v>20040</v>
      </c>
      <c r="L34" s="48">
        <f t="shared" si="15"/>
        <v>20040</v>
      </c>
      <c r="M34" s="47">
        <v>0</v>
      </c>
      <c r="N34" s="158">
        <v>20040</v>
      </c>
      <c r="O34" s="48">
        <f t="shared" si="16"/>
        <v>20040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</f>
        <v>11477.097523675913</v>
      </c>
      <c r="E37" s="47">
        <v>0</v>
      </c>
      <c r="F37" s="48">
        <f t="shared" si="13"/>
        <v>11477.097523675913</v>
      </c>
      <c r="G37" s="147">
        <f>VLOOKUP($A$1,REM_ToolEnrico!$B$5:$J$38,5,FALSE)</f>
        <v>9940.4432043769539</v>
      </c>
      <c r="H37" s="47">
        <v>0</v>
      </c>
      <c r="I37" s="48">
        <f t="shared" si="17"/>
        <v>9940.4432043769539</v>
      </c>
      <c r="J37" s="147">
        <f>VLOOKUP($A$1,REM_ToolEnrico!$B$5:$J$38,7,FALSE)</f>
        <v>10310.583640013449</v>
      </c>
      <c r="K37" s="47">
        <v>0</v>
      </c>
      <c r="L37" s="48">
        <f t="shared" si="15"/>
        <v>10310.583640013449</v>
      </c>
      <c r="M37" s="147">
        <f>VLOOKUP($A$1,REM_ToolEnrico!$B$5:$J$38,9,FALSE)</f>
        <v>10690.419867295417</v>
      </c>
      <c r="N37" s="47">
        <v>0</v>
      </c>
      <c r="O37" s="48">
        <f t="shared" si="16"/>
        <v>10690.419867295417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88.734332392690433</v>
      </c>
      <c r="E38" s="47">
        <v>0</v>
      </c>
      <c r="F38" s="48">
        <f t="shared" si="13"/>
        <v>88.734332392690433</v>
      </c>
      <c r="G38" s="47">
        <v>88.911801057475799</v>
      </c>
      <c r="H38" s="47">
        <v>0</v>
      </c>
      <c r="I38" s="48">
        <f t="shared" si="17"/>
        <v>88.911801057475799</v>
      </c>
      <c r="J38" s="47">
        <v>88.911801057475799</v>
      </c>
      <c r="K38" s="47">
        <v>0</v>
      </c>
      <c r="L38" s="48">
        <f t="shared" si="15"/>
        <v>88.911801057475799</v>
      </c>
      <c r="M38" s="47">
        <v>88.911801057475799</v>
      </c>
      <c r="N38" s="47">
        <v>0</v>
      </c>
      <c r="O38" s="48">
        <f t="shared" si="16"/>
        <v>88.911801057475799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40853.665197933718</v>
      </c>
      <c r="E40" s="51">
        <f>E38+E37+E32+E31+E39</f>
        <v>20060.039999999997</v>
      </c>
      <c r="F40" s="52">
        <f t="shared" si="13"/>
        <v>60913.705197933712</v>
      </c>
      <c r="G40" s="51">
        <f>G38+G37+G32+G31+G39</f>
        <v>38340.408280140022</v>
      </c>
      <c r="H40" s="51">
        <f>H38+H37+H32+H31+H39</f>
        <v>20040</v>
      </c>
      <c r="I40" s="52">
        <f t="shared" si="17"/>
        <v>58380.408280140022</v>
      </c>
      <c r="J40" s="51">
        <f>J38+J37+J32+J31+J39</f>
        <v>32815.757908810534</v>
      </c>
      <c r="K40" s="51">
        <f>K38+K37+K32+K31+K39</f>
        <v>20040</v>
      </c>
      <c r="L40" s="52">
        <f t="shared" si="15"/>
        <v>52855.757908810534</v>
      </c>
      <c r="M40" s="51">
        <f>M38+M37+M32+M31+M39</f>
        <v>34521.69592968162</v>
      </c>
      <c r="N40" s="51">
        <f>N38+N37+N32+N31+N39</f>
        <v>20040</v>
      </c>
      <c r="O40" s="52">
        <f t="shared" si="16"/>
        <v>54561.69592968162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2746.7247463152103</v>
      </c>
      <c r="E42" s="22">
        <v>0</v>
      </c>
      <c r="F42" s="36">
        <f t="shared" si="13"/>
        <v>2746.7247463152103</v>
      </c>
      <c r="G42" s="22">
        <v>5175.5006473977919</v>
      </c>
      <c r="H42" s="22">
        <v>0</v>
      </c>
      <c r="I42" s="36">
        <f t="shared" si="17"/>
        <v>5175.5006473977919</v>
      </c>
      <c r="J42" s="22">
        <v>5175.5006473977919</v>
      </c>
      <c r="K42" s="22">
        <v>0</v>
      </c>
      <c r="L42" s="36">
        <f t="shared" si="15"/>
        <v>5175.5006473977919</v>
      </c>
      <c r="M42" s="22">
        <v>5175.5006473977919</v>
      </c>
      <c r="N42" s="22">
        <v>0</v>
      </c>
      <c r="O42" s="36">
        <f t="shared" si="16"/>
        <v>5175.5006473977919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5042.5692805311764</v>
      </c>
      <c r="E44" s="57">
        <f>5346.59185901942-2924</f>
        <v>2422.5918590194196</v>
      </c>
      <c r="F44" s="36">
        <f t="shared" si="13"/>
        <v>7465.1611395505961</v>
      </c>
      <c r="G44" s="57">
        <v>2803.9493095531125</v>
      </c>
      <c r="H44" s="57">
        <v>4746.721817845716</v>
      </c>
      <c r="I44" s="36">
        <f t="shared" si="17"/>
        <v>7550.6711273988285</v>
      </c>
      <c r="J44" s="57">
        <v>6085.1750000000002</v>
      </c>
      <c r="K44" s="57">
        <v>0</v>
      </c>
      <c r="L44" s="36">
        <f t="shared" si="15"/>
        <v>6085.1750000000002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19473.157692297027</v>
      </c>
      <c r="F45" s="36">
        <f>E45</f>
        <v>19473.157692297027</v>
      </c>
      <c r="G45" s="34"/>
      <c r="H45" s="22">
        <f>G47*0.1</f>
        <v>19836.567158677357</v>
      </c>
      <c r="I45" s="36">
        <f>H45</f>
        <v>19836.567158677357</v>
      </c>
      <c r="J45" s="34"/>
      <c r="K45" s="22">
        <f>J47*0.1</f>
        <v>19612.224690589097</v>
      </c>
      <c r="L45" s="36">
        <f>K45</f>
        <v>19612.224690589097</v>
      </c>
      <c r="M45" s="34"/>
      <c r="N45" s="22">
        <f>M47*0.1</f>
        <v>19174.300992676206</v>
      </c>
      <c r="O45" s="36">
        <f>N45</f>
        <v>19174.300992676206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194731.57692297027</v>
      </c>
      <c r="E47" s="59">
        <f>E25+E30+E40+E41+E42+E43+E44+E45</f>
        <v>57223.78955131644</v>
      </c>
      <c r="F47" s="60">
        <f>D47+E47</f>
        <v>251955.36647428671</v>
      </c>
      <c r="G47" s="59">
        <f>G25+G30+G40+G41+G42+G43+G44+G46</f>
        <v>198365.67158677356</v>
      </c>
      <c r="H47" s="59">
        <f>H25+H30+H40+H41+H42+H43+H44+H45+H46</f>
        <v>59891.288976523079</v>
      </c>
      <c r="I47" s="60">
        <f>G47+H47</f>
        <v>258256.96056329663</v>
      </c>
      <c r="J47" s="59">
        <f>J25+J30+J40+J41+J42+J43+J44+J46</f>
        <v>196122.24690589096</v>
      </c>
      <c r="K47" s="59">
        <f>K25+K30+K40+K41+K42+K43+K44+K45+K46</f>
        <v>54920.224690589093</v>
      </c>
      <c r="L47" s="60">
        <f>J47+K47</f>
        <v>251042.47159648006</v>
      </c>
      <c r="M47" s="59">
        <f>M25+M30+M40+M41+M42+M43+M44+M46</f>
        <v>191743.00992676205</v>
      </c>
      <c r="N47" s="59">
        <f>N25+N30+N40+N41+N42+N43+N44+N45+N46</f>
        <v>54482.300992676202</v>
      </c>
      <c r="O47" s="60">
        <f>M47+N47</f>
        <v>246225.31091943826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D50-VLOOKUP($A$1,REM_ToolEnrico_detterreni!$B$5:$C$38,2,FALSE)</f>
        <v>547620.59178481752</v>
      </c>
      <c r="E49" s="65">
        <v>93256.301037501165</v>
      </c>
      <c r="F49" s="65">
        <f>D49+E49</f>
        <v>640876.89282231871</v>
      </c>
      <c r="G49" s="65">
        <f>G50</f>
        <v>565167.38866062264</v>
      </c>
      <c r="H49" s="65">
        <v>94748.640725081699</v>
      </c>
      <c r="I49" s="65">
        <f t="shared" ref="I49" si="21">G49+H49</f>
        <v>659916.02938570431</v>
      </c>
      <c r="J49" s="65">
        <f>J50</f>
        <v>562923.96397974005</v>
      </c>
      <c r="K49" s="65">
        <v>91824.738866062253</v>
      </c>
      <c r="L49" s="65">
        <f t="shared" ref="L49" si="22">J49+K49</f>
        <v>654748.7028458023</v>
      </c>
      <c r="M49" s="65">
        <f>M50</f>
        <v>558544.72700061114</v>
      </c>
      <c r="N49" s="65">
        <v>91824.738866062253</v>
      </c>
      <c r="O49" s="65">
        <f t="shared" ref="O49" si="23">M49+N49</f>
        <v>650369.46586667339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547620.59178481752</v>
      </c>
      <c r="E50" s="59">
        <f t="shared" si="24"/>
        <v>92512.691037501165</v>
      </c>
      <c r="F50" s="59">
        <f t="shared" si="24"/>
        <v>640133.28282231861</v>
      </c>
      <c r="G50" s="59">
        <f>+G23+G47</f>
        <v>565167.38866062264</v>
      </c>
      <c r="H50" s="59">
        <f t="shared" si="24"/>
        <v>91824.738866062267</v>
      </c>
      <c r="I50" s="59">
        <f t="shared" si="24"/>
        <v>656992.1275266849</v>
      </c>
      <c r="J50" s="59">
        <f t="shared" si="24"/>
        <v>562923.96397974005</v>
      </c>
      <c r="K50" s="59">
        <f>+K23+K47</f>
        <v>91600.396397973993</v>
      </c>
      <c r="L50" s="59">
        <f t="shared" si="24"/>
        <v>654524.36037771404</v>
      </c>
      <c r="M50" s="59">
        <f>+M23+M47</f>
        <v>558544.72700061114</v>
      </c>
      <c r="N50" s="59">
        <f t="shared" si="24"/>
        <v>91162.472700061102</v>
      </c>
      <c r="O50" s="59">
        <f t="shared" si="24"/>
        <v>649707.19970067218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D20+D44</f>
        <v>5042.5692805311764</v>
      </c>
      <c r="E51" s="68">
        <f>E20+E44</f>
        <v>2422.5918590194196</v>
      </c>
      <c r="F51" s="146"/>
      <c r="G51" s="68">
        <f>G20+G44</f>
        <v>2803.9493095531125</v>
      </c>
      <c r="H51" s="68">
        <f>H20+H44</f>
        <v>0</v>
      </c>
      <c r="I51" s="146"/>
      <c r="J51" s="68">
        <f>J20+J44</f>
        <v>6085.1750000000002</v>
      </c>
      <c r="K51" s="68">
        <f>K20+K44</f>
        <v>0</v>
      </c>
      <c r="L51" s="146"/>
      <c r="M51" s="68">
        <f>M20+M44</f>
        <v>0</v>
      </c>
      <c r="N51" s="68">
        <f>N20+N44</f>
        <v>0</v>
      </c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0.78910000000000002</v>
      </c>
      <c r="G53" s="72"/>
      <c r="H53" s="73"/>
      <c r="I53" s="74">
        <v>0.78910000000000002</v>
      </c>
      <c r="J53" s="72"/>
      <c r="K53" s="73"/>
      <c r="L53" s="74">
        <v>0.78910000000000002</v>
      </c>
      <c r="M53" s="72"/>
      <c r="N53" s="73"/>
      <c r="O53" s="74">
        <v>0.78910000000000002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1994.4159999999999</v>
      </c>
      <c r="G54" s="34"/>
      <c r="H54" s="76"/>
      <c r="I54" s="77">
        <v>1994.4159999999999</v>
      </c>
      <c r="J54" s="34"/>
      <c r="K54" s="76"/>
      <c r="L54" s="77">
        <v>1994.4159999999999</v>
      </c>
      <c r="M54" s="34"/>
      <c r="N54" s="76"/>
      <c r="O54" s="77">
        <v>1994.4159999999999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28.829459668777275</v>
      </c>
      <c r="G55" s="34"/>
      <c r="H55" s="76"/>
      <c r="I55" s="78">
        <v>31.153183896797561</v>
      </c>
      <c r="J55" s="34"/>
      <c r="K55" s="76"/>
      <c r="L55" s="78">
        <v>32.060442633341054</v>
      </c>
      <c r="M55" s="34"/>
      <c r="N55" s="76"/>
      <c r="O55" s="78">
        <v>32.806535205277527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30.846220565298285</v>
      </c>
      <c r="G56" s="81"/>
      <c r="H56" s="82"/>
      <c r="I56" s="78">
        <v>30.846220565298285</v>
      </c>
      <c r="J56" s="81"/>
      <c r="K56" s="82"/>
      <c r="L56" s="78">
        <v>30.846220565298285</v>
      </c>
      <c r="M56" s="81"/>
      <c r="N56" s="82"/>
      <c r="O56" s="78">
        <v>30.846220565298285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-5.4999999999999993E-2</v>
      </c>
      <c r="G59" s="87"/>
      <c r="H59" s="73"/>
      <c r="I59" s="86">
        <v>-5.4999999999999993E-2</v>
      </c>
      <c r="J59" s="72"/>
      <c r="K59" s="73"/>
      <c r="L59" s="88">
        <v>-5.4999999999999993E-2</v>
      </c>
      <c r="M59" s="72"/>
      <c r="N59" s="73"/>
      <c r="O59" s="88">
        <v>-5.4999999999999993E-2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-9.4409937116790549E-2</v>
      </c>
      <c r="G60" s="90"/>
      <c r="H60" s="76"/>
      <c r="I60" s="89">
        <v>-9.4409937116790549E-2</v>
      </c>
      <c r="J60" s="34"/>
      <c r="K60" s="91"/>
      <c r="L60" s="89">
        <v>-9.4409937116790549E-2</v>
      </c>
      <c r="M60" s="34"/>
      <c r="N60" s="76"/>
      <c r="O60" s="89">
        <v>-9.4409937116790549E-2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-0.14940993711679054</v>
      </c>
      <c r="G61" s="90"/>
      <c r="H61" s="76"/>
      <c r="I61" s="92">
        <v>-0.14940993711679054</v>
      </c>
      <c r="J61" s="34"/>
      <c r="K61" s="76"/>
      <c r="L61" s="93">
        <v>-0.14940993711679054</v>
      </c>
      <c r="M61" s="34"/>
      <c r="N61" s="76"/>
      <c r="O61" s="92">
        <v>-0.14940993711679054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0.85059006288320949</v>
      </c>
      <c r="G62" s="95"/>
      <c r="H62" s="82"/>
      <c r="I62" s="94">
        <v>0.85059006288320949</v>
      </c>
      <c r="J62" s="81"/>
      <c r="K62" s="82"/>
      <c r="L62" s="94">
        <v>0.85059006288320949</v>
      </c>
      <c r="M62" s="81"/>
      <c r="N62" s="82"/>
      <c r="O62" s="94">
        <v>0.85059006288320949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1.00000001E-3</v>
      </c>
      <c r="G66" s="34"/>
      <c r="H66" s="76"/>
      <c r="I66" s="104">
        <v>1.00000001E-3</v>
      </c>
      <c r="J66" s="34"/>
      <c r="K66" s="76"/>
      <c r="L66" s="104">
        <v>1.00000001E-3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6.5999999990000002E-2</v>
      </c>
      <c r="G70" s="34"/>
      <c r="H70" s="76"/>
      <c r="I70" s="105">
        <v>6.5999999990000002E-2</v>
      </c>
      <c r="J70" s="34"/>
      <c r="K70" s="76"/>
      <c r="L70" s="105">
        <v>6.5999999990000002E-2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1.0659999999900001</v>
      </c>
      <c r="G71" s="34"/>
      <c r="H71" s="76"/>
      <c r="I71" s="106">
        <v>1.0659999999900001</v>
      </c>
      <c r="J71" s="34"/>
      <c r="K71" s="76"/>
      <c r="L71" s="106">
        <v>1.0659999999900001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640133.28282231861</v>
      </c>
      <c r="G72" s="34"/>
      <c r="H72" s="76"/>
      <c r="I72" s="108">
        <f>I50</f>
        <v>656992.1275266849</v>
      </c>
      <c r="J72" s="34"/>
      <c r="K72" s="76"/>
      <c r="L72" s="108">
        <f>L50</f>
        <v>654524.36037771404</v>
      </c>
      <c r="M72" s="34"/>
      <c r="N72" s="76"/>
      <c r="O72" s="108">
        <f>O50</f>
        <v>649707.19970067218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399559.0440333623</v>
      </c>
      <c r="G73" s="34"/>
      <c r="H73" s="76"/>
      <c r="I73" s="110">
        <f>F81</f>
        <v>388177.91634803195</v>
      </c>
      <c r="J73" s="34"/>
      <c r="K73" s="76"/>
      <c r="L73" s="110">
        <f>I81</f>
        <v>398735.16696338827</v>
      </c>
      <c r="M73" s="34"/>
      <c r="N73" s="76"/>
      <c r="O73" s="110">
        <f>L81</f>
        <v>403481.88878123398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221765.04011379171</v>
      </c>
      <c r="G74" s="34"/>
      <c r="H74" s="76"/>
      <c r="I74" s="110">
        <f>F82</f>
        <v>251955.36647428674</v>
      </c>
      <c r="J74" s="34"/>
      <c r="K74" s="76"/>
      <c r="L74" s="110">
        <f>I82</f>
        <v>258256.96056329668</v>
      </c>
      <c r="M74" s="34"/>
      <c r="N74" s="76"/>
      <c r="O74" s="110">
        <f>L82</f>
        <v>251042.47159648009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621324.084147154</v>
      </c>
      <c r="G75" s="34"/>
      <c r="H75" s="76"/>
      <c r="I75" s="111">
        <f>SUM(I73:I74)</f>
        <v>640133.28282231872</v>
      </c>
      <c r="J75" s="34"/>
      <c r="K75" s="76"/>
      <c r="L75" s="111">
        <f>SUM(L73:L74)</f>
        <v>656992.1275266849</v>
      </c>
      <c r="M75" s="34"/>
      <c r="N75" s="76"/>
      <c r="O75" s="111">
        <f>SUM(O73:O74)</f>
        <v>654524.36037771404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1.0302727661056028</v>
      </c>
      <c r="G76" s="81"/>
      <c r="H76" s="82"/>
      <c r="I76" s="112">
        <f>I72/I75</f>
        <v>1.0263364601666021</v>
      </c>
      <c r="J76" s="81"/>
      <c r="K76" s="82"/>
      <c r="L76" s="112">
        <f>L72/L75</f>
        <v>0.99624384060999172</v>
      </c>
      <c r="M76" s="81"/>
      <c r="N76" s="82"/>
      <c r="O76" s="112">
        <f>O72/O75</f>
        <v>0.9926402117802583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640133.28282231861</v>
      </c>
      <c r="G78" s="73"/>
      <c r="H78" s="73"/>
      <c r="I78" s="115">
        <f>IF(I72&lt;=I75*I71,I72,I75*I71)</f>
        <v>656992.1275266849</v>
      </c>
      <c r="J78" s="73"/>
      <c r="K78" s="73"/>
      <c r="L78" s="115">
        <f>IF(L72&lt;=L75*L71,L72,L75*L71)</f>
        <v>654524.36037771404</v>
      </c>
      <c r="M78" s="73"/>
      <c r="N78" s="73"/>
      <c r="O78" s="115">
        <f>IF(O72&lt;=O75*O71,O72,O75*O71)</f>
        <v>649707.19970067218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352889.01486184722</v>
      </c>
      <c r="E81" s="120">
        <f>E23</f>
        <v>35288.901486184724</v>
      </c>
      <c r="F81" s="115">
        <f>D81+E81</f>
        <v>388177.91634803195</v>
      </c>
      <c r="G81" s="119">
        <f>G23-I79</f>
        <v>366801.71707384905</v>
      </c>
      <c r="H81" s="120">
        <f>H23</f>
        <v>31933.449889539192</v>
      </c>
      <c r="I81" s="115">
        <f>G81+H81</f>
        <v>398735.16696338827</v>
      </c>
      <c r="J81" s="119">
        <f>J23-L79</f>
        <v>366801.71707384905</v>
      </c>
      <c r="K81" s="120">
        <f>K23</f>
        <v>36680.171707384907</v>
      </c>
      <c r="L81" s="115">
        <f>J81+K81</f>
        <v>403481.88878123398</v>
      </c>
      <c r="M81" s="119">
        <f>M23-O79</f>
        <v>366801.71707384905</v>
      </c>
      <c r="N81" s="120">
        <f>N23</f>
        <v>36680.171707384907</v>
      </c>
      <c r="O81" s="115">
        <f>M81+N81</f>
        <v>403481.88878123398</v>
      </c>
    </row>
    <row r="82" spans="1:52" s="14" customFormat="1" ht="20" customHeight="1" thickBot="1">
      <c r="B82" s="118" t="s">
        <v>72</v>
      </c>
      <c r="D82" s="121">
        <f>D50-D81-F79</f>
        <v>194731.5769229703</v>
      </c>
      <c r="E82" s="122">
        <f>E50-E81</f>
        <v>57223.78955131644</v>
      </c>
      <c r="F82" s="123">
        <f>D82+E82</f>
        <v>251955.36647428674</v>
      </c>
      <c r="G82" s="121">
        <f>G49-G81-I79</f>
        <v>198365.67158677359</v>
      </c>
      <c r="H82" s="122">
        <f>H50-H81</f>
        <v>59891.288976523079</v>
      </c>
      <c r="I82" s="123">
        <f>G82+H82</f>
        <v>258256.96056329668</v>
      </c>
      <c r="J82" s="121">
        <f>J50-J81-L79</f>
        <v>196122.24690589099</v>
      </c>
      <c r="K82" s="122">
        <f>K50-K81</f>
        <v>54920.224690589086</v>
      </c>
      <c r="L82" s="123">
        <f>J82+K82</f>
        <v>251042.47159648009</v>
      </c>
      <c r="M82" s="121">
        <f>M49-M81-O79</f>
        <v>191743.00992676208</v>
      </c>
      <c r="N82" s="122">
        <f>N50-N81</f>
        <v>54482.300992676195</v>
      </c>
      <c r="O82" s="123">
        <f>M82+N82</f>
        <v>246225.31091943829</v>
      </c>
    </row>
    <row r="83" spans="1:52" s="124" customFormat="1" ht="17.25" customHeight="1" thickBot="1">
      <c r="B83" s="125" t="s">
        <v>73</v>
      </c>
      <c r="C83" s="14"/>
      <c r="D83" s="126">
        <f>SUM(D81:D82)</f>
        <v>547620.59178481752</v>
      </c>
      <c r="E83" s="127">
        <f t="shared" ref="E83:O83" si="25">SUM(E81:E82)</f>
        <v>92512.691037501165</v>
      </c>
      <c r="F83" s="128">
        <f t="shared" si="25"/>
        <v>640133.28282231872</v>
      </c>
      <c r="G83" s="126">
        <f t="shared" si="25"/>
        <v>565167.38866062264</v>
      </c>
      <c r="H83" s="127">
        <f t="shared" si="25"/>
        <v>91824.738866062267</v>
      </c>
      <c r="I83" s="128">
        <f t="shared" si="25"/>
        <v>656992.1275266849</v>
      </c>
      <c r="J83" s="126">
        <f t="shared" si="25"/>
        <v>562923.96397974005</v>
      </c>
      <c r="K83" s="127">
        <f t="shared" si="25"/>
        <v>91600.396397973993</v>
      </c>
      <c r="L83" s="128">
        <f t="shared" si="25"/>
        <v>654524.36037771404</v>
      </c>
      <c r="M83" s="126">
        <f t="shared" si="25"/>
        <v>558544.72700061114</v>
      </c>
      <c r="N83" s="127">
        <f t="shared" si="25"/>
        <v>91162.472700061102</v>
      </c>
      <c r="O83" s="128">
        <f t="shared" si="25"/>
        <v>649707.1997006723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388177.91634803195</v>
      </c>
      <c r="G88" s="72"/>
      <c r="H88" s="73"/>
      <c r="I88" s="136">
        <f>I81-I85</f>
        <v>398735.16696338827</v>
      </c>
      <c r="J88" s="72"/>
      <c r="K88" s="73"/>
      <c r="L88" s="136">
        <f>L81-L85</f>
        <v>403481.88878123398</v>
      </c>
      <c r="M88" s="72"/>
      <c r="N88" s="73"/>
      <c r="O88" s="136">
        <f>O81-O85</f>
        <v>403481.88878123398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251955.36647428674</v>
      </c>
      <c r="G89" s="34"/>
      <c r="H89" s="76"/>
      <c r="I89" s="138">
        <f>I82-I86</f>
        <v>258256.96056329668</v>
      </c>
      <c r="J89" s="34"/>
      <c r="K89" s="76"/>
      <c r="L89" s="138">
        <f>L82-L86</f>
        <v>251042.47159648009</v>
      </c>
      <c r="M89" s="34"/>
      <c r="N89" s="76"/>
      <c r="O89" s="138">
        <f>O82-O86</f>
        <v>246225.31091943829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640133.28282231872</v>
      </c>
      <c r="G90" s="81"/>
      <c r="H90" s="82"/>
      <c r="I90" s="139">
        <f>+I88+I89</f>
        <v>656992.1275266849</v>
      </c>
      <c r="J90" s="81"/>
      <c r="K90" s="82"/>
      <c r="L90" s="139">
        <f>+L88+L89</f>
        <v>654524.36037771404</v>
      </c>
      <c r="M90" s="81"/>
      <c r="N90" s="82"/>
      <c r="O90" s="139">
        <f>+O88+O89</f>
        <v>649707.1997006723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-175.16286386262254</v>
      </c>
      <c r="E92" s="143">
        <v>0</v>
      </c>
      <c r="F92" s="144">
        <f>D92+E92</f>
        <v>-175.16286386262254</v>
      </c>
      <c r="G92" s="142">
        <v>-8303.7477705529927</v>
      </c>
      <c r="H92" s="143">
        <v>0</v>
      </c>
      <c r="I92" s="144">
        <f>G92+H92</f>
        <v>-8303.7477705529927</v>
      </c>
      <c r="J92" s="142">
        <v>-8303.7477705529927</v>
      </c>
      <c r="K92" s="143">
        <v>0</v>
      </c>
      <c r="L92" s="144">
        <f>J92+K92</f>
        <v>-8303.7477705529927</v>
      </c>
      <c r="M92" s="142">
        <v>-8303.7477705529927</v>
      </c>
      <c r="N92" s="143">
        <v>0</v>
      </c>
      <c r="O92" s="144">
        <f>M92+N92</f>
        <v>-8303.7477705529927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566003.4949419169</v>
      </c>
      <c r="E96" s="166">
        <f>E6+E7+E8+E9+E11+E25+E30+E40+E42+E21+E45</f>
        <v>90090.099178481745</v>
      </c>
      <c r="F96" s="166">
        <f t="shared" ref="F96" si="26">F6+F7+F8+F9+F11+F25+F30+F40+F42</f>
        <v>601331.53494191694</v>
      </c>
      <c r="G96" s="166">
        <f t="shared" ref="G96" si="27">G6+G7+G8+G9+G11+G25+G30+G40+G42+G21+G45</f>
        <v>585765.50971833302</v>
      </c>
      <c r="H96" s="166">
        <f t="shared" ref="H96" si="28">H6+H7+H8+H9+H11+H25+H30+H40+H42</f>
        <v>35308</v>
      </c>
      <c r="I96" s="166">
        <f t="shared" ref="I96" si="29">I6+I7+I8+I9+I11+I25+I30+I40+I42+I21+I45</f>
        <v>677590.24858439527</v>
      </c>
      <c r="J96" s="166">
        <f t="shared" ref="J96" si="30">J6+J7+J8+J9+J11+J25+J30+J40+J42</f>
        <v>580240.85934700351</v>
      </c>
      <c r="K96" s="166">
        <f t="shared" ref="K96" si="31">K6+K7+K8+K9+K11+K25+K30+K40+K42+K21+K45</f>
        <v>91600.396397973993</v>
      </c>
      <c r="L96" s="166">
        <f t="shared" ref="L96" si="32">L6+L7+L8+L9+L11+L25+L30+L40+L42</f>
        <v>615548.85934700351</v>
      </c>
      <c r="M96" s="166">
        <f t="shared" ref="M96" si="33">M6+M7+M8+M9+M11+M25+M30+M40+M42+M21+M45</f>
        <v>581946.79736787465</v>
      </c>
      <c r="N96" s="166">
        <f t="shared" ref="N96" si="34">N6+N7+N8+N9+N11+N25+N30+N40+N42</f>
        <v>35308</v>
      </c>
      <c r="O96" s="166">
        <f t="shared" ref="O96" si="35">O6+O7+O8+O9+O11+O25+O30+O40+O42+O21+O45</f>
        <v>673109.27006793569</v>
      </c>
    </row>
    <row r="97" spans="4:15" s="14" customFormat="1">
      <c r="D97" s="166">
        <f>D96-D15-D19</f>
        <v>542578.02250428614</v>
      </c>
      <c r="E97" s="166">
        <f>E96-E15-E19</f>
        <v>90090.099178481745</v>
      </c>
      <c r="F97" s="166">
        <f t="shared" ref="F97:O97" si="36">F96-F15-F19</f>
        <v>577906.06250428618</v>
      </c>
      <c r="G97" s="166">
        <f t="shared" si="36"/>
        <v>562363.43935106962</v>
      </c>
      <c r="H97" s="166">
        <f t="shared" si="36"/>
        <v>35308</v>
      </c>
      <c r="I97" s="166">
        <f t="shared" si="36"/>
        <v>654188.17821713188</v>
      </c>
      <c r="J97" s="166">
        <f t="shared" si="36"/>
        <v>556838.78897974011</v>
      </c>
      <c r="K97" s="166">
        <f t="shared" si="36"/>
        <v>91600.396397973993</v>
      </c>
      <c r="L97" s="166">
        <f t="shared" si="36"/>
        <v>592146.78897974011</v>
      </c>
      <c r="M97" s="166">
        <f t="shared" si="36"/>
        <v>558544.72700061125</v>
      </c>
      <c r="N97" s="166">
        <f t="shared" si="36"/>
        <v>35308</v>
      </c>
      <c r="O97" s="166">
        <f t="shared" si="36"/>
        <v>649707.1997006723</v>
      </c>
    </row>
    <row r="98" spans="4:15" s="14" customFormat="1">
      <c r="D98" s="166">
        <f>D20+D44</f>
        <v>5042.5692805311764</v>
      </c>
      <c r="E98" s="166">
        <f>E20+E44</f>
        <v>2422.5918590194196</v>
      </c>
      <c r="F98" s="166">
        <f t="shared" ref="F98:O98" si="37">F20+F44</f>
        <v>7465.1611395505961</v>
      </c>
      <c r="G98" s="166">
        <f t="shared" si="37"/>
        <v>2803.9493095531125</v>
      </c>
      <c r="H98" s="166">
        <f t="shared" si="37"/>
        <v>0</v>
      </c>
      <c r="I98" s="166">
        <f t="shared" si="37"/>
        <v>2803.9493095531125</v>
      </c>
      <c r="J98" s="166">
        <f t="shared" si="37"/>
        <v>6085.1750000000002</v>
      </c>
      <c r="K98" s="166">
        <f t="shared" si="37"/>
        <v>0</v>
      </c>
      <c r="L98" s="166">
        <f t="shared" si="37"/>
        <v>6085.1750000000002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33" priority="7" operator="containsText" text="ERRORE">
      <formula>NOT(ISERROR(SEARCH("ERRORE",F81)))</formula>
    </cfRule>
  </conditionalFormatting>
  <conditionalFormatting sqref="I83">
    <cfRule type="containsText" dxfId="32" priority="6" operator="containsText" text="ERRORE">
      <formula>NOT(ISERROR(SEARCH("ERRORE",I83)))</formula>
    </cfRule>
  </conditionalFormatting>
  <conditionalFormatting sqref="I81:I82">
    <cfRule type="containsText" dxfId="31" priority="5" operator="containsText" text="ERRORE">
      <formula>NOT(ISERROR(SEARCH("ERRORE",I81)))</formula>
    </cfRule>
  </conditionalFormatting>
  <conditionalFormatting sqref="L83">
    <cfRule type="containsText" dxfId="30" priority="4" operator="containsText" text="ERRORE">
      <formula>NOT(ISERROR(SEARCH("ERRORE",L83)))</formula>
    </cfRule>
  </conditionalFormatting>
  <conditionalFormatting sqref="L81:L82">
    <cfRule type="containsText" dxfId="29" priority="3" operator="containsText" text="ERRORE">
      <formula>NOT(ISERROR(SEARCH("ERRORE",L81)))</formula>
    </cfRule>
  </conditionalFormatting>
  <conditionalFormatting sqref="O83">
    <cfRule type="containsText" dxfId="28" priority="2" operator="containsText" text="ERRORE">
      <formula>NOT(ISERROR(SEARCH("ERRORE",O83)))</formula>
    </cfRule>
  </conditionalFormatting>
  <conditionalFormatting sqref="O81:O82">
    <cfRule type="containsText" dxfId="27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A67" zoomScale="70" zoomScaleNormal="70" zoomScalePageLayoutView="70" workbookViewId="0">
      <selection activeCell="E52" sqref="E52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114</v>
      </c>
      <c r="B1" s="2" t="str">
        <f>"       PEF 2022 - 2025"&amp;" - "&amp;A1</f>
        <v xml:space="preserve">       PEF 2022 - 2025 - Venezia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130</v>
      </c>
      <c r="E4" s="188"/>
      <c r="F4" s="189"/>
      <c r="G4" s="187" t="str">
        <f>D4</f>
        <v>Ambito tariffario: Venezia</v>
      </c>
      <c r="H4" s="188"/>
      <c r="I4" s="189"/>
      <c r="J4" s="187" t="str">
        <f>D4</f>
        <v>Ambito tariffario: Venezia</v>
      </c>
      <c r="K4" s="188"/>
      <c r="L4" s="189"/>
      <c r="M4" s="187" t="str">
        <f>D4</f>
        <v>Ambito tariffario: Venezia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12463767.460835641</v>
      </c>
      <c r="E6" s="22">
        <v>0</v>
      </c>
      <c r="F6" s="23">
        <f>D6+E6</f>
        <v>12463767.460835641</v>
      </c>
      <c r="G6" s="22">
        <v>12893191.620486433</v>
      </c>
      <c r="H6" s="22">
        <v>0</v>
      </c>
      <c r="I6" s="23">
        <f>G6+H6</f>
        <v>12893191.620486433</v>
      </c>
      <c r="J6" s="22">
        <v>12893191.620486433</v>
      </c>
      <c r="K6" s="22">
        <v>0</v>
      </c>
      <c r="L6" s="23">
        <f>J6+K6</f>
        <v>12893191.620486433</v>
      </c>
      <c r="M6" s="22">
        <v>12893191.620486433</v>
      </c>
      <c r="N6" s="22">
        <v>0</v>
      </c>
      <c r="O6" s="23">
        <f>M6+N6</f>
        <v>12893191.620486433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11380835.438963572</v>
      </c>
      <c r="E7" s="22">
        <v>0</v>
      </c>
      <c r="F7" s="23">
        <f t="shared" ref="F7:F20" si="0">D7+E7</f>
        <v>11380835.438963572</v>
      </c>
      <c r="G7" s="22">
        <v>10424162.828626163</v>
      </c>
      <c r="H7" s="22">
        <v>0</v>
      </c>
      <c r="I7" s="23">
        <f t="shared" ref="I7:I13" si="1">G7+H7</f>
        <v>10424162.828626163</v>
      </c>
      <c r="J7" s="22">
        <v>10424162.828626163</v>
      </c>
      <c r="K7" s="22">
        <v>0</v>
      </c>
      <c r="L7" s="23">
        <f t="shared" ref="L7:L12" si="2">J7+K7</f>
        <v>10424162.828626163</v>
      </c>
      <c r="M7" s="22">
        <v>10424162.828626163</v>
      </c>
      <c r="N7" s="22">
        <v>0</v>
      </c>
      <c r="O7" s="23">
        <f t="shared" ref="O7:O13" si="3">M7+N7</f>
        <v>10424162.828626163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5730837.6606680052</v>
      </c>
      <c r="E8" s="22">
        <v>0</v>
      </c>
      <c r="F8" s="23">
        <f t="shared" si="0"/>
        <v>5730837.6606680052</v>
      </c>
      <c r="G8" s="22">
        <v>5999075.3447755808</v>
      </c>
      <c r="H8" s="22">
        <v>0</v>
      </c>
      <c r="I8" s="23">
        <f t="shared" si="1"/>
        <v>5999075.3447755808</v>
      </c>
      <c r="J8" s="22">
        <v>5999075.3447755808</v>
      </c>
      <c r="K8" s="22">
        <v>0</v>
      </c>
      <c r="L8" s="23">
        <f t="shared" si="2"/>
        <v>5999075.3447755808</v>
      </c>
      <c r="M8" s="22">
        <v>5999075.3447755808</v>
      </c>
      <c r="N8" s="22">
        <v>0</v>
      </c>
      <c r="O8" s="23">
        <f t="shared" si="3"/>
        <v>5999075.3447755808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28141535.908064257</v>
      </c>
      <c r="E9" s="22">
        <v>0</v>
      </c>
      <c r="F9" s="23">
        <f t="shared" si="0"/>
        <v>28141535.908064257</v>
      </c>
      <c r="G9" s="22">
        <v>29059827.779301949</v>
      </c>
      <c r="H9" s="22">
        <v>0</v>
      </c>
      <c r="I9" s="23">
        <f t="shared" si="1"/>
        <v>29059827.779301949</v>
      </c>
      <c r="J9" s="22">
        <v>29059827.779301949</v>
      </c>
      <c r="K9" s="22">
        <v>0</v>
      </c>
      <c r="L9" s="23">
        <f t="shared" si="2"/>
        <v>29059827.779301949</v>
      </c>
      <c r="M9" s="22">
        <v>29059827.779301949</v>
      </c>
      <c r="N9" s="22">
        <v>0</v>
      </c>
      <c r="O9" s="23">
        <f t="shared" si="3"/>
        <v>29059827.779301949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137715.78202757542</v>
      </c>
      <c r="E11" s="22">
        <v>0</v>
      </c>
      <c r="F11" s="23">
        <f t="shared" si="0"/>
        <v>137715.78202757542</v>
      </c>
      <c r="G11" s="22">
        <v>137715.78202757542</v>
      </c>
      <c r="H11" s="22">
        <v>0</v>
      </c>
      <c r="I11" s="23">
        <f t="shared" si="1"/>
        <v>137715.78202757542</v>
      </c>
      <c r="J11" s="22">
        <v>137715.78202757542</v>
      </c>
      <c r="K11" s="22">
        <v>0</v>
      </c>
      <c r="L11" s="23">
        <f t="shared" si="2"/>
        <v>137715.78202757542</v>
      </c>
      <c r="M11" s="22">
        <v>137715.78202757542</v>
      </c>
      <c r="N11" s="22">
        <v>0</v>
      </c>
      <c r="O11" s="23">
        <f t="shared" si="3"/>
        <v>137715.78202757542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3539732.1867116047</v>
      </c>
      <c r="E13" s="22">
        <v>0</v>
      </c>
      <c r="F13" s="23">
        <f t="shared" si="0"/>
        <v>3539732.1867116047</v>
      </c>
      <c r="G13" s="22">
        <v>3536195.9907208844</v>
      </c>
      <c r="H13" s="22">
        <v>0</v>
      </c>
      <c r="I13" s="23">
        <f t="shared" si="1"/>
        <v>3536195.9907208844</v>
      </c>
      <c r="J13" s="22">
        <v>3536195.9907208844</v>
      </c>
      <c r="K13" s="22">
        <v>0</v>
      </c>
      <c r="L13" s="23">
        <f>J13+K13</f>
        <v>3536195.9907208844</v>
      </c>
      <c r="M13" s="22">
        <v>3536195.9907208844</v>
      </c>
      <c r="N13" s="22">
        <v>0</v>
      </c>
      <c r="O13" s="23">
        <f t="shared" si="3"/>
        <v>3536195.9907208844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2123839.3120269626</v>
      </c>
      <c r="E15" s="22">
        <v>0</v>
      </c>
      <c r="F15" s="23">
        <f t="shared" si="0"/>
        <v>2123839.3120269626</v>
      </c>
      <c r="G15" s="22">
        <v>2121717.5944325305</v>
      </c>
      <c r="H15" s="22">
        <v>0</v>
      </c>
      <c r="I15" s="23">
        <f t="shared" ref="I15:I16" si="4">G15+H15</f>
        <v>2121717.5944325305</v>
      </c>
      <c r="J15" s="22">
        <v>2121717.5944325305</v>
      </c>
      <c r="K15" s="22">
        <v>0</v>
      </c>
      <c r="L15" s="23">
        <f t="shared" ref="L15:L16" si="5">J15+K15</f>
        <v>2121717.5944325305</v>
      </c>
      <c r="M15" s="22">
        <v>2121717.5944325305</v>
      </c>
      <c r="N15" s="22">
        <v>0</v>
      </c>
      <c r="O15" s="23">
        <f t="shared" ref="O15:O16" si="6">M15+N15</f>
        <v>2121717.5944325305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104103.21924964861</v>
      </c>
      <c r="E16" s="22">
        <v>0</v>
      </c>
      <c r="F16" s="23">
        <f t="shared" si="0"/>
        <v>104103.21924964861</v>
      </c>
      <c r="G16" s="22">
        <v>103999.220029619</v>
      </c>
      <c r="H16" s="22">
        <v>0</v>
      </c>
      <c r="I16" s="23">
        <f t="shared" si="4"/>
        <v>103999.220029619</v>
      </c>
      <c r="J16" s="22">
        <v>103999.220029619</v>
      </c>
      <c r="K16" s="22">
        <v>0</v>
      </c>
      <c r="L16" s="23">
        <f t="shared" si="5"/>
        <v>103999.220029619</v>
      </c>
      <c r="M16" s="22">
        <v>103999.220029619</v>
      </c>
      <c r="N16" s="22">
        <v>0</v>
      </c>
      <c r="O16" s="23">
        <f t="shared" si="6"/>
        <v>103999.220029619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0.4</v>
      </c>
      <c r="E17" s="29">
        <v>0.4</v>
      </c>
      <c r="F17" s="30">
        <f>D17</f>
        <v>0.4</v>
      </c>
      <c r="G17" s="29">
        <v>0.4</v>
      </c>
      <c r="H17" s="29">
        <v>0.4</v>
      </c>
      <c r="I17" s="30">
        <f>G17</f>
        <v>0.4</v>
      </c>
      <c r="J17" s="29">
        <v>0.4</v>
      </c>
      <c r="K17" s="29">
        <v>0.4</v>
      </c>
      <c r="L17" s="30">
        <v>0.4</v>
      </c>
      <c r="M17" s="29">
        <v>0.4</v>
      </c>
      <c r="N17" s="29">
        <v>0.4</v>
      </c>
      <c r="O17" s="30">
        <f>N17</f>
        <v>0.4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0.84</v>
      </c>
      <c r="E18" s="29">
        <v>0.84</v>
      </c>
      <c r="F18" s="31">
        <f>IF(D18=E18,D18,"n.d.")</f>
        <v>0.84</v>
      </c>
      <c r="G18" s="29">
        <v>0.84</v>
      </c>
      <c r="H18" s="29">
        <v>0.84</v>
      </c>
      <c r="I18" s="31">
        <f>IF(G18=H18,G18,"n.d.")</f>
        <v>0.84</v>
      </c>
      <c r="J18" s="29">
        <v>0.84</v>
      </c>
      <c r="K18" s="29">
        <v>0.84</v>
      </c>
      <c r="L18" s="31">
        <f>IF(J18=K18,J18,"n.d.")</f>
        <v>0.84</v>
      </c>
      <c r="M18" s="29">
        <v>0.84</v>
      </c>
      <c r="N18" s="29">
        <v>0.84</v>
      </c>
      <c r="O18" s="31">
        <f>IF(M18=N18,M18,"n.d.")</f>
        <v>0.84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87446.704169704826</v>
      </c>
      <c r="E19" s="22">
        <v>0</v>
      </c>
      <c r="F19" s="23">
        <f t="shared" si="0"/>
        <v>87446.704169704826</v>
      </c>
      <c r="G19" s="22">
        <v>87359.344824879954</v>
      </c>
      <c r="H19" s="22">
        <v>0</v>
      </c>
      <c r="I19" s="23">
        <f t="shared" ref="I19:I20" si="7">G19+H19</f>
        <v>87359.344824879954</v>
      </c>
      <c r="J19" s="22">
        <v>87359.344824879954</v>
      </c>
      <c r="K19" s="22">
        <v>0</v>
      </c>
      <c r="L19" s="23">
        <f t="shared" ref="L19:L20" si="8">J19+K19</f>
        <v>87359.344824879954</v>
      </c>
      <c r="M19" s="32">
        <v>87359.344824879954</v>
      </c>
      <c r="N19" s="33">
        <v>0</v>
      </c>
      <c r="O19" s="23">
        <f t="shared" ref="O19:O20" si="9">M19+N19</f>
        <v>87359.344824879954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22">
        <v>0</v>
      </c>
      <c r="E20" s="178">
        <v>0</v>
      </c>
      <c r="F20" s="23">
        <f t="shared" si="0"/>
        <v>0</v>
      </c>
      <c r="G20" s="22">
        <v>0</v>
      </c>
      <c r="H20" s="178">
        <v>0</v>
      </c>
      <c r="I20" s="23">
        <f t="shared" si="7"/>
        <v>0</v>
      </c>
      <c r="J20" s="22">
        <v>0</v>
      </c>
      <c r="K20" s="178">
        <v>0</v>
      </c>
      <c r="L20" s="23">
        <f t="shared" si="8"/>
        <v>0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>
        <f>D23*0.1</f>
        <v>5564340.6234362386</v>
      </c>
      <c r="F21" s="23">
        <f>E21</f>
        <v>5564340.6234362386</v>
      </c>
      <c r="G21" s="34"/>
      <c r="H21" s="22">
        <f>G23*0.1</f>
        <v>5630489.6415960286</v>
      </c>
      <c r="I21" s="23">
        <f>H21</f>
        <v>5630489.6415960286</v>
      </c>
      <c r="J21" s="34"/>
      <c r="K21" s="22">
        <f>J23*0.1</f>
        <v>5630489.6415960286</v>
      </c>
      <c r="L21" s="23">
        <f>K21</f>
        <v>5630489.6415960286</v>
      </c>
      <c r="M21" s="34"/>
      <c r="N21" s="22">
        <f>M23*0.1</f>
        <v>5630489.6415960286</v>
      </c>
      <c r="O21" s="23">
        <f>N21</f>
        <v>5630489.6415960286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/>
      <c r="K22" s="22">
        <v>0</v>
      </c>
      <c r="L22" s="36">
        <f t="shared" ref="L22" si="11">J22+K22</f>
        <v>0</v>
      </c>
      <c r="M22" s="22"/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55643406.234362379</v>
      </c>
      <c r="E23" s="38">
        <f>E6+E7+E8+E9+E10+E11+E12-E15-E19+E20+E21</f>
        <v>5564340.6234362386</v>
      </c>
      <c r="F23" s="38">
        <f>D23+E23</f>
        <v>61207746.857798621</v>
      </c>
      <c r="G23" s="38">
        <f>G6+G7+G8+G9+G10+G11+G12-G15-G19+G20+G22</f>
        <v>56304896.415960282</v>
      </c>
      <c r="H23" s="38">
        <f>H6+H7+H8+H9+H10+H11+H12-H15-H19+H20+H21+H22</f>
        <v>5630489.6415960286</v>
      </c>
      <c r="I23" s="38">
        <f>G23+H23</f>
        <v>61935386.057556309</v>
      </c>
      <c r="J23" s="38">
        <f>J6+J7+J8+J9+J10+J11+J12-J15-J19+J20+J22</f>
        <v>56304896.415960282</v>
      </c>
      <c r="K23" s="38">
        <f>K6+K7+K8+K9+K10+K11+K12-K15-K19+K20+K21+K22</f>
        <v>5630489.6415960286</v>
      </c>
      <c r="L23" s="38">
        <f>J23+K23</f>
        <v>61935386.057556309</v>
      </c>
      <c r="M23" s="38">
        <f>M6+M7+M8+M9+M10+M11+M12-M15-M19+M20+M22</f>
        <v>56304896.415960282</v>
      </c>
      <c r="N23" s="38">
        <f>N6+N7+N8+N9+N10+N11+N12-N15-N19+N20+N21+N22</f>
        <v>5630489.6415960286</v>
      </c>
      <c r="O23" s="38">
        <f>M23+N23</f>
        <v>61935386.057556309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14782511.895223463</v>
      </c>
      <c r="E25" s="44">
        <v>0</v>
      </c>
      <c r="F25" s="45">
        <f t="shared" ref="F25:F44" si="13">D25+E25</f>
        <v>14782511.895223463</v>
      </c>
      <c r="G25" s="44">
        <v>15451524.07324793</v>
      </c>
      <c r="H25" s="44">
        <v>0</v>
      </c>
      <c r="I25" s="45">
        <f t="shared" ref="I25:I33" si="14">G25+H25</f>
        <v>15451524.07324793</v>
      </c>
      <c r="J25" s="44">
        <v>15451524.07324793</v>
      </c>
      <c r="K25" s="44">
        <v>0</v>
      </c>
      <c r="L25" s="45">
        <f t="shared" ref="L25:L44" si="15">J25+K25</f>
        <v>15451524.07324793</v>
      </c>
      <c r="M25" s="44">
        <v>15451524.07324793</v>
      </c>
      <c r="N25" s="44">
        <v>0</v>
      </c>
      <c r="O25" s="45">
        <f t="shared" ref="O25:O43" si="16">M25+N25</f>
        <v>15451524.07324793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4383328.2532086372</v>
      </c>
      <c r="E26" s="22">
        <v>0</v>
      </c>
      <c r="F26" s="36">
        <f t="shared" si="13"/>
        <v>4383328.2532086372</v>
      </c>
      <c r="G26" s="22">
        <v>4511734.38124278</v>
      </c>
      <c r="H26" s="22">
        <v>0</v>
      </c>
      <c r="I26" s="36">
        <f t="shared" si="14"/>
        <v>4511734.38124278</v>
      </c>
      <c r="J26" s="22">
        <v>4511734.38124278</v>
      </c>
      <c r="K26" s="22">
        <v>0</v>
      </c>
      <c r="L26" s="36">
        <f t="shared" si="15"/>
        <v>4511734.38124278</v>
      </c>
      <c r="M26" s="22">
        <v>4511734.38124278</v>
      </c>
      <c r="N26" s="22">
        <v>0</v>
      </c>
      <c r="O26" s="36">
        <f t="shared" si="16"/>
        <v>4511734.38124278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9514507.3598478716</v>
      </c>
      <c r="E27" s="47">
        <v>981471.45997140231</v>
      </c>
      <c r="F27" s="48">
        <f t="shared" si="13"/>
        <v>10495978.819819273</v>
      </c>
      <c r="G27" s="47">
        <v>9880876.6543183271</v>
      </c>
      <c r="H27" s="47">
        <v>980490.96900239994</v>
      </c>
      <c r="I27" s="48">
        <f t="shared" si="14"/>
        <v>10861367.623320727</v>
      </c>
      <c r="J27" s="47">
        <v>9880876.6543183271</v>
      </c>
      <c r="K27" s="47">
        <v>980490.96900239994</v>
      </c>
      <c r="L27" s="48">
        <f t="shared" si="15"/>
        <v>10861367.623320727</v>
      </c>
      <c r="M27" s="47">
        <v>9880876.6543183271</v>
      </c>
      <c r="N27" s="47">
        <v>980490.96900239994</v>
      </c>
      <c r="O27" s="48">
        <f t="shared" si="16"/>
        <v>10861367.623320727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456152.76693520526</v>
      </c>
      <c r="E29" s="47">
        <v>156817</v>
      </c>
      <c r="F29" s="48">
        <f t="shared" si="13"/>
        <v>612969.76693520532</v>
      </c>
      <c r="G29" s="47">
        <v>459429.84063254547</v>
      </c>
      <c r="H29" s="47">
        <v>156817</v>
      </c>
      <c r="I29" s="48">
        <f t="shared" si="14"/>
        <v>616246.84063254553</v>
      </c>
      <c r="J29" s="47">
        <v>459429.84063254547</v>
      </c>
      <c r="K29" s="47">
        <v>156817</v>
      </c>
      <c r="L29" s="48">
        <f t="shared" si="15"/>
        <v>616246.84063254553</v>
      </c>
      <c r="M29" s="47">
        <v>459429.84063254547</v>
      </c>
      <c r="N29" s="47">
        <v>156817</v>
      </c>
      <c r="O29" s="48">
        <f t="shared" si="16"/>
        <v>616246.84063254553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14353988.379991714</v>
      </c>
      <c r="E30" s="51">
        <f>+E26+E27+E28+E29</f>
        <v>1138288.4599714023</v>
      </c>
      <c r="F30" s="52">
        <f t="shared" si="13"/>
        <v>15492276.839963116</v>
      </c>
      <c r="G30" s="51">
        <f>+G26+G27+G28+G29</f>
        <v>14852040.876193652</v>
      </c>
      <c r="H30" s="51">
        <f>+H26+H27+H28+H29</f>
        <v>1137307.9690024001</v>
      </c>
      <c r="I30" s="52">
        <f t="shared" si="14"/>
        <v>15989348.845196052</v>
      </c>
      <c r="J30" s="51">
        <f>+J26+J27+J28+J29</f>
        <v>14852040.876193652</v>
      </c>
      <c r="K30" s="51">
        <f>+K26+K27+K28+K29</f>
        <v>1137307.9690024001</v>
      </c>
      <c r="L30" s="52">
        <f t="shared" si="15"/>
        <v>15989348.845196052</v>
      </c>
      <c r="M30" s="51">
        <f>+M26+M27+M28+M29</f>
        <v>14852040.876193652</v>
      </c>
      <c r="N30" s="51">
        <f>+N26+N27+N28+N29</f>
        <v>1137307.9690024001</v>
      </c>
      <c r="O30" s="52">
        <f t="shared" si="16"/>
        <v>15989348.845196052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VLOOKUP($A$1,[3]REM_ToolEnrico!$B$5:$J$38,2,FALSE)</f>
        <v>4048951.6022983477</v>
      </c>
      <c r="E31" s="53">
        <v>0</v>
      </c>
      <c r="F31" s="48">
        <f t="shared" si="13"/>
        <v>4048951.6022983477</v>
      </c>
      <c r="G31" s="147">
        <f>VLOOKUP($A$1,[3]REM_ToolEnrico!$B$5:$J$38,4,FALSE)</f>
        <v>3748260.8808395509</v>
      </c>
      <c r="H31" s="53">
        <v>0</v>
      </c>
      <c r="I31" s="48">
        <f t="shared" si="14"/>
        <v>3748260.8808395509</v>
      </c>
      <c r="J31" s="147">
        <f>VLOOKUP($A$1,[3]REM_ToolEnrico!$B$5:$J$38,6,FALSE)</f>
        <v>4156164.027086515</v>
      </c>
      <c r="K31" s="53">
        <v>0</v>
      </c>
      <c r="L31" s="48">
        <f t="shared" si="15"/>
        <v>4156164.027086515</v>
      </c>
      <c r="M31" s="147">
        <f>VLOOKUP($A$1,[3]REM_ToolEnrico!$B$5:$J$38,8,FALSE)</f>
        <v>4292679.991432705</v>
      </c>
      <c r="N31" s="53">
        <v>0</v>
      </c>
      <c r="O31" s="48">
        <f t="shared" si="16"/>
        <v>4292679.991432705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0</v>
      </c>
      <c r="E32" s="54">
        <f>+E33+E34+E35+E36</f>
        <v>6018011.9999999991</v>
      </c>
      <c r="F32" s="48">
        <f t="shared" si="13"/>
        <v>6018011.9999999991</v>
      </c>
      <c r="G32" s="54">
        <f>+G33+G34+G35+G36</f>
        <v>0</v>
      </c>
      <c r="H32" s="54">
        <f>+H33+H34+H35+H36</f>
        <v>6012000</v>
      </c>
      <c r="I32" s="48">
        <f t="shared" si="14"/>
        <v>6012000</v>
      </c>
      <c r="J32" s="54">
        <f>+J33+J34+J35+J36</f>
        <v>0</v>
      </c>
      <c r="K32" s="54">
        <f>+K33+K34+K35+K36</f>
        <v>6012000</v>
      </c>
      <c r="L32" s="48">
        <f t="shared" si="15"/>
        <v>6012000</v>
      </c>
      <c r="M32" s="54">
        <f>+M33+M34+M35+M36</f>
        <v>0</v>
      </c>
      <c r="N32" s="54">
        <f>+N33+N34+N35+N36</f>
        <v>6012000</v>
      </c>
      <c r="O32" s="48">
        <f t="shared" si="16"/>
        <v>6012000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0</v>
      </c>
      <c r="E34" s="47">
        <v>6018011.9999999991</v>
      </c>
      <c r="F34" s="48">
        <f>D34+E34</f>
        <v>6018011.9999999991</v>
      </c>
      <c r="G34" s="47">
        <v>0</v>
      </c>
      <c r="H34" s="47">
        <v>6012000</v>
      </c>
      <c r="I34" s="48">
        <f>G34+H34</f>
        <v>6012000</v>
      </c>
      <c r="J34" s="47">
        <v>0</v>
      </c>
      <c r="K34" s="158">
        <v>6012000</v>
      </c>
      <c r="L34" s="48">
        <f t="shared" si="15"/>
        <v>6012000</v>
      </c>
      <c r="M34" s="47">
        <v>0</v>
      </c>
      <c r="N34" s="158">
        <v>6012000</v>
      </c>
      <c r="O34" s="48">
        <f t="shared" si="16"/>
        <v>6012000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VLOOKUP($A$1,[3]REM_ToolEnrico!$B$5:$J$38,3,FALSE)</f>
        <v>2604594.0189081589</v>
      </c>
      <c r="E37" s="47">
        <v>0</v>
      </c>
      <c r="F37" s="48">
        <f t="shared" si="13"/>
        <v>2604594.0189081589</v>
      </c>
      <c r="G37" s="147">
        <f>VLOOKUP($A$1,[3]REM_ToolEnrico!$B$5:$J$38,5,FALSE)</f>
        <v>2449231.2792901313</v>
      </c>
      <c r="H37" s="47">
        <v>0</v>
      </c>
      <c r="I37" s="48">
        <f t="shared" si="17"/>
        <v>2449231.2792901313</v>
      </c>
      <c r="J37" s="147">
        <f>VLOOKUP($A$1,[3]REM_ToolEnrico!$B$5:$J$38,7,FALSE)</f>
        <v>2580655.2823598213</v>
      </c>
      <c r="K37" s="47">
        <v>0</v>
      </c>
      <c r="L37" s="48">
        <f t="shared" si="15"/>
        <v>2580655.2823598213</v>
      </c>
      <c r="M37" s="147">
        <f>VLOOKUP($A$1,[3]REM_ToolEnrico!$B$5:$J$38,9,FALSE)</f>
        <v>2666129.1997580826</v>
      </c>
      <c r="N37" s="47">
        <v>0</v>
      </c>
      <c r="O37" s="48">
        <f t="shared" si="16"/>
        <v>2666129.1997580826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81755.260449344409</v>
      </c>
      <c r="E38" s="47">
        <v>0</v>
      </c>
      <c r="F38" s="48">
        <f t="shared" si="13"/>
        <v>81755.260449344409</v>
      </c>
      <c r="G38" s="47">
        <v>81918.770970243102</v>
      </c>
      <c r="H38" s="47">
        <v>0</v>
      </c>
      <c r="I38" s="48">
        <f t="shared" si="17"/>
        <v>81918.770970243102</v>
      </c>
      <c r="J38" s="47">
        <v>81918.770970243102</v>
      </c>
      <c r="K38" s="47">
        <v>0</v>
      </c>
      <c r="L38" s="48">
        <f t="shared" si="15"/>
        <v>81918.770970243102</v>
      </c>
      <c r="M38" s="47">
        <v>81918.770970243102</v>
      </c>
      <c r="N38" s="47">
        <v>0</v>
      </c>
      <c r="O38" s="48">
        <f t="shared" si="16"/>
        <v>81918.770970243102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140455.45528013998</v>
      </c>
      <c r="E39" s="56">
        <v>0</v>
      </c>
      <c r="F39" s="48">
        <f t="shared" si="13"/>
        <v>140455.45528013998</v>
      </c>
      <c r="G39" s="56">
        <v>223646.4</v>
      </c>
      <c r="H39" s="56">
        <v>0</v>
      </c>
      <c r="I39" s="48">
        <f t="shared" si="17"/>
        <v>223646.4</v>
      </c>
      <c r="J39" s="56">
        <v>223646.4</v>
      </c>
      <c r="K39" s="56">
        <v>0</v>
      </c>
      <c r="L39" s="48">
        <f t="shared" si="15"/>
        <v>223646.4</v>
      </c>
      <c r="M39" s="56">
        <v>223646.4</v>
      </c>
      <c r="N39" s="56">
        <v>0</v>
      </c>
      <c r="O39" s="48">
        <f t="shared" si="16"/>
        <v>223646.4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6875756.3369359914</v>
      </c>
      <c r="E40" s="51">
        <f>E38+E37+E32+E31+E39</f>
        <v>6018011.9999999991</v>
      </c>
      <c r="F40" s="52">
        <f t="shared" si="13"/>
        <v>12893768.33693599</v>
      </c>
      <c r="G40" s="51">
        <f>G38+G37+G32+G31+G39</f>
        <v>6503057.3310999256</v>
      </c>
      <c r="H40" s="51">
        <f>H38+H37+H32+H31+H39</f>
        <v>6012000</v>
      </c>
      <c r="I40" s="52">
        <f t="shared" si="17"/>
        <v>12515057.331099926</v>
      </c>
      <c r="J40" s="51">
        <f>J38+J37+J32+J31+J39</f>
        <v>7042384.4804165792</v>
      </c>
      <c r="K40" s="51">
        <f>K38+K37+K32+K31+K39</f>
        <v>6012000</v>
      </c>
      <c r="L40" s="52">
        <f t="shared" si="15"/>
        <v>13054384.480416579</v>
      </c>
      <c r="M40" s="51">
        <f>M38+M37+M32+M31+M39</f>
        <v>7264374.362161031</v>
      </c>
      <c r="N40" s="51">
        <f>N38+N37+N32+N31+N39</f>
        <v>6012000</v>
      </c>
      <c r="O40" s="52">
        <f t="shared" si="16"/>
        <v>13276374.362161031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228424.57712307177</v>
      </c>
      <c r="E42" s="22">
        <v>0</v>
      </c>
      <c r="F42" s="36">
        <f t="shared" si="13"/>
        <v>228424.57712307177</v>
      </c>
      <c r="G42" s="22">
        <v>430407.72409684904</v>
      </c>
      <c r="H42" s="22">
        <v>0</v>
      </c>
      <c r="I42" s="36">
        <f t="shared" si="17"/>
        <v>430407.72409684904</v>
      </c>
      <c r="J42" s="22">
        <v>430407.72409684904</v>
      </c>
      <c r="K42" s="22">
        <v>0</v>
      </c>
      <c r="L42" s="36">
        <f t="shared" si="15"/>
        <v>430407.72409684904</v>
      </c>
      <c r="M42" s="22">
        <v>430407.72409684904</v>
      </c>
      <c r="N42" s="22">
        <v>0</v>
      </c>
      <c r="O42" s="36">
        <f t="shared" si="16"/>
        <v>430407.72409684904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f>-736186</f>
        <v>-736186</v>
      </c>
      <c r="E44" s="178">
        <v>0</v>
      </c>
      <c r="F44" s="36">
        <f t="shared" si="13"/>
        <v>-736186</v>
      </c>
      <c r="G44" s="57">
        <v>-437651</v>
      </c>
      <c r="H44" s="178">
        <v>0</v>
      </c>
      <c r="I44" s="36">
        <f t="shared" si="17"/>
        <v>-437651</v>
      </c>
      <c r="J44" s="57">
        <v>-381790</v>
      </c>
      <c r="K44" s="178">
        <v>0</v>
      </c>
      <c r="L44" s="36">
        <f t="shared" si="15"/>
        <v>-381790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>
        <f>D47*0.1</f>
        <v>3550449.5189274237</v>
      </c>
      <c r="F45" s="36">
        <f>E45</f>
        <v>3550449.5189274237</v>
      </c>
      <c r="G45" s="34"/>
      <c r="H45" s="22">
        <f>G47*0.1</f>
        <v>3679937.9004638363</v>
      </c>
      <c r="I45" s="36">
        <f>H45</f>
        <v>3679937.9004638363</v>
      </c>
      <c r="J45" s="34"/>
      <c r="K45" s="22">
        <f>J47*0.1</f>
        <v>3739456.7153955013</v>
      </c>
      <c r="L45" s="36">
        <f>K45</f>
        <v>3739456.7153955013</v>
      </c>
      <c r="M45" s="34"/>
      <c r="N45" s="22">
        <f>M47*0.1</f>
        <v>3799834.7035699468</v>
      </c>
      <c r="O45" s="36">
        <f>N45</f>
        <v>3799834.7035699468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35504495.189274237</v>
      </c>
      <c r="E47" s="59">
        <f>E25+E30+E40+E41+E42+E43+E44+E45</f>
        <v>10706749.978898825</v>
      </c>
      <c r="F47" s="60">
        <f>D47+E47</f>
        <v>46211245.16817306</v>
      </c>
      <c r="G47" s="59">
        <f>G25+G30+G40+G41+G42+G43+G44+G46</f>
        <v>36799379.004638359</v>
      </c>
      <c r="H47" s="59">
        <f>H25+H30+H40+H41+H42+H43+H44+H45+H46</f>
        <v>10829245.869466236</v>
      </c>
      <c r="I47" s="60">
        <f>G47+H47</f>
        <v>47628624.874104597</v>
      </c>
      <c r="J47" s="59">
        <f>J25+J30+J40+J41+J42+J43+J44+J46</f>
        <v>37394567.153955013</v>
      </c>
      <c r="K47" s="59">
        <f>K25+K30+K40+K41+K42+K43+K44+K45+K46</f>
        <v>10888764.6843979</v>
      </c>
      <c r="L47" s="60">
        <f>J47+K47</f>
        <v>48283331.838352911</v>
      </c>
      <c r="M47" s="59">
        <f>M25+M30+M40+M41+M42+M43+M44+M46</f>
        <v>37998347.035699464</v>
      </c>
      <c r="N47" s="59">
        <f>N25+N30+N40+N41+N42+N43+N44+N45+N46</f>
        <v>10949142.672572346</v>
      </c>
      <c r="O47" s="60">
        <f>M47+N47</f>
        <v>48947489.708271809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D50-VLOOKUP($A$1,[3]REM_ToolEnrico_detterreni!$B$5:$C$38,2,FALSE)</f>
        <v>91147901.423636615</v>
      </c>
      <c r="E49" s="65">
        <v>16302532.638623122</v>
      </c>
      <c r="F49" s="65">
        <f>D49+E49</f>
        <v>107450434.06225973</v>
      </c>
      <c r="G49" s="65">
        <f>G50</f>
        <v>93104275.420598641</v>
      </c>
      <c r="H49" s="65">
        <v>16491177.507857928</v>
      </c>
      <c r="I49" s="65">
        <f t="shared" ref="I49" si="21">G49+H49</f>
        <v>109595452.92845657</v>
      </c>
      <c r="J49" s="65">
        <f>J50</f>
        <v>93699463.569915295</v>
      </c>
      <c r="K49" s="65">
        <v>16494039.485700373</v>
      </c>
      <c r="L49" s="65">
        <f t="shared" ref="L49" si="22">J49+K49</f>
        <v>110193503.05561566</v>
      </c>
      <c r="M49" s="65">
        <f>M50</f>
        <v>94303243.451659739</v>
      </c>
      <c r="N49" s="65">
        <v>16459735.485700373</v>
      </c>
      <c r="O49" s="65">
        <f t="shared" ref="O49" si="23">M49+N49</f>
        <v>110762978.93736011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91147901.423636615</v>
      </c>
      <c r="E50" s="59">
        <f t="shared" si="24"/>
        <v>16271090.602335064</v>
      </c>
      <c r="F50" s="59">
        <f t="shared" si="24"/>
        <v>107418992.02597168</v>
      </c>
      <c r="G50" s="59">
        <f>+G23+G47</f>
        <v>93104275.420598641</v>
      </c>
      <c r="H50" s="59">
        <f t="shared" si="24"/>
        <v>16459735.511062264</v>
      </c>
      <c r="I50" s="59">
        <f t="shared" si="24"/>
        <v>109564010.93166091</v>
      </c>
      <c r="J50" s="59">
        <f t="shared" si="24"/>
        <v>93699463.569915295</v>
      </c>
      <c r="K50" s="59">
        <f>+K23+K47</f>
        <v>16519254.325993929</v>
      </c>
      <c r="L50" s="59">
        <f t="shared" si="24"/>
        <v>110218717.89590922</v>
      </c>
      <c r="M50" s="59">
        <f>+M23+M47</f>
        <v>94303243.451659739</v>
      </c>
      <c r="N50" s="59">
        <f t="shared" si="24"/>
        <v>16579632.314168375</v>
      </c>
      <c r="O50" s="59">
        <f t="shared" si="24"/>
        <v>110882875.76582812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D20+D44</f>
        <v>-736186</v>
      </c>
      <c r="E51" s="68">
        <f>E20+E44</f>
        <v>0</v>
      </c>
      <c r="F51" s="146"/>
      <c r="G51" s="68">
        <f>G20+G44</f>
        <v>-437651</v>
      </c>
      <c r="H51" s="68">
        <f>H20+H44</f>
        <v>0</v>
      </c>
      <c r="I51" s="146"/>
      <c r="J51" s="68">
        <f>J20+J44</f>
        <v>-381790</v>
      </c>
      <c r="K51" s="68">
        <f>K20+K44</f>
        <v>0</v>
      </c>
      <c r="L51" s="146"/>
      <c r="M51" s="68">
        <f>M44+M20</f>
        <v>0</v>
      </c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174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0.65980000000000005</v>
      </c>
      <c r="G53" s="72"/>
      <c r="H53" s="73"/>
      <c r="I53" s="74">
        <v>0.65980000000000005</v>
      </c>
      <c r="J53" s="72"/>
      <c r="K53" s="73"/>
      <c r="L53" s="74">
        <v>0.65980000000000005</v>
      </c>
      <c r="M53" s="72"/>
      <c r="N53" s="73"/>
      <c r="O53" s="74">
        <v>0.65980000000000005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147350.36900000001</v>
      </c>
      <c r="G54" s="34"/>
      <c r="H54" s="76"/>
      <c r="I54" s="77">
        <v>147350.36900000001</v>
      </c>
      <c r="J54" s="34"/>
      <c r="K54" s="76"/>
      <c r="L54" s="77">
        <v>147350.36900000001</v>
      </c>
      <c r="M54" s="34"/>
      <c r="N54" s="76"/>
      <c r="O54" s="77">
        <v>147350.36900000001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69.43024022844449</v>
      </c>
      <c r="G55" s="34"/>
      <c r="H55" s="76"/>
      <c r="I55" s="78">
        <v>71.773282346621073</v>
      </c>
      <c r="J55" s="34"/>
      <c r="K55" s="76"/>
      <c r="L55" s="78">
        <v>72.851790623803453</v>
      </c>
      <c r="M55" s="34"/>
      <c r="N55" s="76"/>
      <c r="O55" s="78">
        <v>74.242588387173981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37.987242987561444</v>
      </c>
      <c r="G56" s="81"/>
      <c r="H56" s="82"/>
      <c r="I56" s="78">
        <v>37.987242987561444</v>
      </c>
      <c r="J56" s="81"/>
      <c r="K56" s="82"/>
      <c r="L56" s="78">
        <v>37.987242987561444</v>
      </c>
      <c r="M56" s="81"/>
      <c r="N56" s="82"/>
      <c r="O56" s="78">
        <v>37.987242987561444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-0.4</v>
      </c>
      <c r="G59" s="87"/>
      <c r="H59" s="73"/>
      <c r="I59" s="86">
        <v>-0.4</v>
      </c>
      <c r="J59" s="72"/>
      <c r="K59" s="73"/>
      <c r="L59" s="88">
        <v>-0.4</v>
      </c>
      <c r="M59" s="72"/>
      <c r="N59" s="73"/>
      <c r="O59" s="88">
        <v>-0.4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-0.29925645632343967</v>
      </c>
      <c r="G60" s="90"/>
      <c r="H60" s="76"/>
      <c r="I60" s="89">
        <v>-0.29925645632343967</v>
      </c>
      <c r="J60" s="34"/>
      <c r="K60" s="91"/>
      <c r="L60" s="89">
        <v>-0.29925645632343967</v>
      </c>
      <c r="M60" s="34"/>
      <c r="N60" s="76"/>
      <c r="O60" s="89">
        <v>-0.29925645632343967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-0.69925645632343969</v>
      </c>
      <c r="G61" s="90"/>
      <c r="H61" s="76"/>
      <c r="I61" s="92">
        <v>-0.69925645632343969</v>
      </c>
      <c r="J61" s="34"/>
      <c r="K61" s="76"/>
      <c r="L61" s="93">
        <v>-0.69925645632343969</v>
      </c>
      <c r="M61" s="34"/>
      <c r="N61" s="76"/>
      <c r="O61" s="92">
        <v>-0.69925645632343969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0.30074354367656031</v>
      </c>
      <c r="G62" s="95"/>
      <c r="H62" s="82"/>
      <c r="I62" s="94">
        <v>0.30074354367656031</v>
      </c>
      <c r="J62" s="81"/>
      <c r="K62" s="82"/>
      <c r="L62" s="94">
        <v>0.30074354367656031</v>
      </c>
      <c r="M62" s="81"/>
      <c r="N62" s="82"/>
      <c r="O62" s="94">
        <v>0.30074354367656031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107418992.02597168</v>
      </c>
      <c r="G72" s="34"/>
      <c r="H72" s="76"/>
      <c r="I72" s="108">
        <f>I50</f>
        <v>109564010.93166091</v>
      </c>
      <c r="J72" s="34"/>
      <c r="K72" s="76"/>
      <c r="L72" s="108">
        <f>L50</f>
        <v>110218717.89590922</v>
      </c>
      <c r="M72" s="34"/>
      <c r="N72" s="76"/>
      <c r="O72" s="108">
        <f>O50</f>
        <v>110882875.76582812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66428126.232732818</v>
      </c>
      <c r="G73" s="34"/>
      <c r="H73" s="76"/>
      <c r="I73" s="110">
        <f>F81</f>
        <v>61207746.857798621</v>
      </c>
      <c r="J73" s="34"/>
      <c r="K73" s="76"/>
      <c r="L73" s="110">
        <f>I81</f>
        <v>61935386.057556309</v>
      </c>
      <c r="M73" s="34"/>
      <c r="N73" s="76"/>
      <c r="O73" s="110">
        <f>L81</f>
        <v>61935386.057556309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39330070.148425192</v>
      </c>
      <c r="G74" s="34"/>
      <c r="H74" s="76"/>
      <c r="I74" s="110">
        <f>F82</f>
        <v>46211245.16817306</v>
      </c>
      <c r="J74" s="34"/>
      <c r="K74" s="76"/>
      <c r="L74" s="110">
        <f>I82</f>
        <v>47628624.874104597</v>
      </c>
      <c r="M74" s="34"/>
      <c r="N74" s="76"/>
      <c r="O74" s="110">
        <f>L82</f>
        <v>48283331.838352911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105758196.38115801</v>
      </c>
      <c r="G75" s="34"/>
      <c r="H75" s="76"/>
      <c r="I75" s="111">
        <f>SUM(I73:I74)</f>
        <v>107418992.02597168</v>
      </c>
      <c r="J75" s="34"/>
      <c r="K75" s="76"/>
      <c r="L75" s="111">
        <f>SUM(L73:L74)</f>
        <v>109564010.93166091</v>
      </c>
      <c r="M75" s="34"/>
      <c r="N75" s="76"/>
      <c r="O75" s="111">
        <f>SUM(O73:O74)</f>
        <v>110218717.89590922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1.0157037062056928</v>
      </c>
      <c r="G76" s="81"/>
      <c r="H76" s="82"/>
      <c r="I76" s="112">
        <f>I72/I75</f>
        <v>1.0199687119124206</v>
      </c>
      <c r="J76" s="81"/>
      <c r="K76" s="82"/>
      <c r="L76" s="112">
        <f>L72/L75</f>
        <v>1.005975565869496</v>
      </c>
      <c r="M76" s="81"/>
      <c r="N76" s="82"/>
      <c r="O76" s="112">
        <f>O72/O75</f>
        <v>1.0060258174164767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107418992.02597168</v>
      </c>
      <c r="G78" s="73"/>
      <c r="H78" s="73"/>
      <c r="I78" s="115">
        <f>IF(I72&lt;=I75*I71,I72,I75*I71)</f>
        <v>109564010.93166091</v>
      </c>
      <c r="J78" s="73"/>
      <c r="K78" s="73"/>
      <c r="L78" s="115">
        <f>IF(L72&lt;=L75*L71,L72,L75*L71)</f>
        <v>110218717.89590922</v>
      </c>
      <c r="M78" s="73"/>
      <c r="N78" s="73"/>
      <c r="O78" s="115">
        <f>IF(O72&lt;=O75*O71,O72,O75*O71)</f>
        <v>110882875.76582812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55643406.234362379</v>
      </c>
      <c r="E81" s="120">
        <f>E23</f>
        <v>5564340.6234362386</v>
      </c>
      <c r="F81" s="115">
        <f>D81+E81</f>
        <v>61207746.857798621</v>
      </c>
      <c r="G81" s="119">
        <f>G23-I79</f>
        <v>56304896.415960282</v>
      </c>
      <c r="H81" s="120">
        <f>H23</f>
        <v>5630489.6415960286</v>
      </c>
      <c r="I81" s="115">
        <f>G81+H81</f>
        <v>61935386.057556309</v>
      </c>
      <c r="J81" s="119">
        <f>J23-L79</f>
        <v>56304896.415960282</v>
      </c>
      <c r="K81" s="120">
        <f>K23</f>
        <v>5630489.6415960286</v>
      </c>
      <c r="L81" s="115">
        <f>J81+K81</f>
        <v>61935386.057556309</v>
      </c>
      <c r="M81" s="119">
        <f>M23-O79</f>
        <v>56304896.415960282</v>
      </c>
      <c r="N81" s="120">
        <f>N23</f>
        <v>5630489.6415960286</v>
      </c>
      <c r="O81" s="115">
        <f>M81+N81</f>
        <v>61935386.057556309</v>
      </c>
    </row>
    <row r="82" spans="1:52" s="14" customFormat="1" ht="20" customHeight="1" thickBot="1">
      <c r="B82" s="118" t="s">
        <v>72</v>
      </c>
      <c r="D82" s="121">
        <f>D50-D81-F79</f>
        <v>35504495.189274237</v>
      </c>
      <c r="E82" s="122">
        <f>E50-E81</f>
        <v>10706749.978898825</v>
      </c>
      <c r="F82" s="123">
        <f>D82+E82</f>
        <v>46211245.16817306</v>
      </c>
      <c r="G82" s="121">
        <f>G49-G81-I79</f>
        <v>36799379.004638359</v>
      </c>
      <c r="H82" s="122">
        <f>H50-H81</f>
        <v>10829245.869466236</v>
      </c>
      <c r="I82" s="123">
        <f>G82+H82</f>
        <v>47628624.874104597</v>
      </c>
      <c r="J82" s="121">
        <f>J50-J81-L79</f>
        <v>37394567.153955013</v>
      </c>
      <c r="K82" s="122">
        <f>K50-K81</f>
        <v>10888764.6843979</v>
      </c>
      <c r="L82" s="123">
        <f>J82+K82</f>
        <v>48283331.838352911</v>
      </c>
      <c r="M82" s="121">
        <f>M49-M81-O79</f>
        <v>37998347.035699457</v>
      </c>
      <c r="N82" s="122">
        <f>N50-N81</f>
        <v>10949142.672572346</v>
      </c>
      <c r="O82" s="123">
        <f>M82+N82</f>
        <v>48947489.708271801</v>
      </c>
    </row>
    <row r="83" spans="1:52" s="124" customFormat="1" ht="17.25" customHeight="1" thickBot="1">
      <c r="B83" s="125" t="s">
        <v>73</v>
      </c>
      <c r="C83" s="14"/>
      <c r="D83" s="126">
        <f>SUM(D81:D82)</f>
        <v>91147901.423636615</v>
      </c>
      <c r="E83" s="127">
        <f t="shared" ref="E83:O83" si="25">SUM(E81:E82)</f>
        <v>16271090.602335064</v>
      </c>
      <c r="F83" s="128">
        <f t="shared" si="25"/>
        <v>107418992.02597168</v>
      </c>
      <c r="G83" s="126">
        <f t="shared" si="25"/>
        <v>93104275.420598641</v>
      </c>
      <c r="H83" s="127">
        <f t="shared" si="25"/>
        <v>16459735.511062264</v>
      </c>
      <c r="I83" s="128">
        <f t="shared" si="25"/>
        <v>109564010.93166091</v>
      </c>
      <c r="J83" s="126">
        <f t="shared" si="25"/>
        <v>93699463.569915295</v>
      </c>
      <c r="K83" s="127">
        <f t="shared" si="25"/>
        <v>16519254.325993929</v>
      </c>
      <c r="L83" s="128">
        <f t="shared" si="25"/>
        <v>110218717.89590922</v>
      </c>
      <c r="M83" s="126">
        <f t="shared" si="25"/>
        <v>94303243.451659739</v>
      </c>
      <c r="N83" s="127">
        <f t="shared" si="25"/>
        <v>16579632.314168375</v>
      </c>
      <c r="O83" s="128">
        <f t="shared" si="25"/>
        <v>110882875.7658281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61207746.857798621</v>
      </c>
      <c r="G88" s="72"/>
      <c r="H88" s="73"/>
      <c r="I88" s="136">
        <f>I81-I85</f>
        <v>61935386.057556309</v>
      </c>
      <c r="J88" s="72"/>
      <c r="K88" s="73"/>
      <c r="L88" s="136">
        <f>L81-L85</f>
        <v>61935386.057556309</v>
      </c>
      <c r="M88" s="72"/>
      <c r="N88" s="73"/>
      <c r="O88" s="136">
        <f>O81-O85</f>
        <v>61935386.057556309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46211245.16817306</v>
      </c>
      <c r="G89" s="34"/>
      <c r="H89" s="76"/>
      <c r="I89" s="138">
        <f>I82-I86</f>
        <v>47628624.874104597</v>
      </c>
      <c r="J89" s="34"/>
      <c r="K89" s="76"/>
      <c r="L89" s="138">
        <f>L82-L86</f>
        <v>48283331.838352911</v>
      </c>
      <c r="M89" s="34"/>
      <c r="N89" s="76"/>
      <c r="O89" s="138">
        <f>O82-O86</f>
        <v>48947489.708271801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107418992.02597168</v>
      </c>
      <c r="G90" s="81"/>
      <c r="H90" s="82"/>
      <c r="I90" s="139">
        <f>+I88+I89</f>
        <v>109564010.93166091</v>
      </c>
      <c r="J90" s="81"/>
      <c r="K90" s="82"/>
      <c r="L90" s="139">
        <f>+L88+L89</f>
        <v>110218717.89590922</v>
      </c>
      <c r="M90" s="81"/>
      <c r="N90" s="82"/>
      <c r="O90" s="139">
        <f>+O88+O89</f>
        <v>110882875.7658281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-53944.439331492409</v>
      </c>
      <c r="E92" s="143">
        <v>0</v>
      </c>
      <c r="F92" s="144">
        <f>D92+E92</f>
        <v>-53944.439331492409</v>
      </c>
      <c r="G92" s="142">
        <v>-2557283.0219533984</v>
      </c>
      <c r="H92" s="143">
        <v>0</v>
      </c>
      <c r="I92" s="144">
        <f>G92+H92</f>
        <v>-2557283.0219533984</v>
      </c>
      <c r="J92" s="142">
        <v>-2557283.0219533984</v>
      </c>
      <c r="K92" s="143">
        <v>0</v>
      </c>
      <c r="L92" s="144">
        <f>J92+K92</f>
        <v>-2557283.0219533984</v>
      </c>
      <c r="M92" s="142">
        <v>-2557283.0219533984</v>
      </c>
      <c r="N92" s="143">
        <v>0</v>
      </c>
      <c r="O92" s="144">
        <f>M92+N92</f>
        <v>-2557283.0219533984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94095373.439833298</v>
      </c>
      <c r="E96" s="166">
        <f>E6+E7+E8+E9+E11+E25+E30+E40+E42+E21+E45</f>
        <v>16271090.602335064</v>
      </c>
      <c r="F96" s="166">
        <f t="shared" ref="F96" si="26">F6+F7+F8+F9+F11+F25+F30+F40+F42</f>
        <v>101251673.89980471</v>
      </c>
      <c r="G96" s="166">
        <f t="shared" ref="G96" si="27">G6+G7+G8+G9+G11+G25+G30+G40+G42+G21+G45</f>
        <v>95751003.359856054</v>
      </c>
      <c r="H96" s="166">
        <f t="shared" ref="H96" si="28">H6+H7+H8+H9+H11+H25+H30+H40+H42</f>
        <v>7149307.9690023996</v>
      </c>
      <c r="I96" s="166">
        <f t="shared" ref="I96" si="29">I6+I7+I8+I9+I11+I25+I30+I40+I42+I21+I45</f>
        <v>112210738.87091832</v>
      </c>
      <c r="J96" s="166">
        <f t="shared" ref="J96" si="30">J6+J7+J8+J9+J11+J25+J30+J40+J42</f>
        <v>96290330.509172708</v>
      </c>
      <c r="K96" s="166">
        <f t="shared" ref="K96" si="31">K6+K7+K8+K9+K11+K25+K30+K40+K42+K21+K45</f>
        <v>16519254.325993929</v>
      </c>
      <c r="L96" s="166">
        <f t="shared" ref="L96" si="32">L6+L7+L8+L9+L11+L25+L30+L40+L42</f>
        <v>103439638.4781751</v>
      </c>
      <c r="M96" s="166">
        <f t="shared" ref="M96" si="33">M6+M7+M8+M9+M11+M25+M30+M40+M42+M21+M45</f>
        <v>96512320.390917152</v>
      </c>
      <c r="N96" s="166">
        <f t="shared" ref="N96" si="34">N6+N7+N8+N9+N11+N25+N30+N40+N42</f>
        <v>7149307.9690023996</v>
      </c>
      <c r="O96" s="166">
        <f t="shared" ref="O96" si="35">O6+O7+O8+O9+O11+O25+O30+O40+O42+O21+O45</f>
        <v>113091952.70508553</v>
      </c>
    </row>
    <row r="97" spans="4:15" s="14" customFormat="1">
      <c r="D97" s="166">
        <f>D96-D15-D19</f>
        <v>91884087.42363663</v>
      </c>
      <c r="E97" s="166">
        <f>E96-E15-E19</f>
        <v>16271090.602335064</v>
      </c>
      <c r="F97" s="166">
        <f t="shared" ref="F97:O97" si="36">F96-F15-F19</f>
        <v>99040387.883608043</v>
      </c>
      <c r="G97" s="166">
        <f t="shared" si="36"/>
        <v>93541926.420598641</v>
      </c>
      <c r="H97" s="166">
        <f t="shared" si="36"/>
        <v>7149307.9690023996</v>
      </c>
      <c r="I97" s="166">
        <f t="shared" si="36"/>
        <v>110001661.93166091</v>
      </c>
      <c r="J97" s="166">
        <f t="shared" si="36"/>
        <v>94081253.569915295</v>
      </c>
      <c r="K97" s="166">
        <f t="shared" si="36"/>
        <v>16519254.325993929</v>
      </c>
      <c r="L97" s="166">
        <f t="shared" si="36"/>
        <v>101230561.53891769</v>
      </c>
      <c r="M97" s="166">
        <f t="shared" si="36"/>
        <v>94303243.451659739</v>
      </c>
      <c r="N97" s="166">
        <f t="shared" si="36"/>
        <v>7149307.9690023996</v>
      </c>
      <c r="O97" s="166">
        <f t="shared" si="36"/>
        <v>110882875.76582812</v>
      </c>
    </row>
    <row r="98" spans="4:15" s="14" customFormat="1">
      <c r="D98" s="166">
        <f>D20+D44</f>
        <v>-736186</v>
      </c>
      <c r="E98" s="166">
        <f>E20+E44</f>
        <v>0</v>
      </c>
      <c r="F98" s="166">
        <f t="shared" ref="F98:O98" si="37">F20+F44</f>
        <v>-736186</v>
      </c>
      <c r="G98" s="166">
        <f t="shared" si="37"/>
        <v>-437651</v>
      </c>
      <c r="H98" s="166">
        <f t="shared" si="37"/>
        <v>0</v>
      </c>
      <c r="I98" s="166">
        <f t="shared" si="37"/>
        <v>-437651</v>
      </c>
      <c r="J98" s="166">
        <f t="shared" si="37"/>
        <v>-381790</v>
      </c>
      <c r="K98" s="166">
        <f t="shared" si="37"/>
        <v>0</v>
      </c>
      <c r="L98" s="166">
        <f t="shared" si="37"/>
        <v>-381790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26" priority="7" operator="containsText" text="ERRORE">
      <formula>NOT(ISERROR(SEARCH("ERRORE",F81)))</formula>
    </cfRule>
  </conditionalFormatting>
  <conditionalFormatting sqref="I83">
    <cfRule type="containsText" dxfId="25" priority="6" operator="containsText" text="ERRORE">
      <formula>NOT(ISERROR(SEARCH("ERRORE",I83)))</formula>
    </cfRule>
  </conditionalFormatting>
  <conditionalFormatting sqref="I81:I82">
    <cfRule type="containsText" dxfId="24" priority="5" operator="containsText" text="ERRORE">
      <formula>NOT(ISERROR(SEARCH("ERRORE",I81)))</formula>
    </cfRule>
  </conditionalFormatting>
  <conditionalFormatting sqref="L83">
    <cfRule type="containsText" dxfId="23" priority="4" operator="containsText" text="ERRORE">
      <formula>NOT(ISERROR(SEARCH("ERRORE",L83)))</formula>
    </cfRule>
  </conditionalFormatting>
  <conditionalFormatting sqref="L81:L82">
    <cfRule type="containsText" dxfId="22" priority="3" operator="containsText" text="ERRORE">
      <formula>NOT(ISERROR(SEARCH("ERRORE",L81)))</formula>
    </cfRule>
  </conditionalFormatting>
  <conditionalFormatting sqref="O83">
    <cfRule type="containsText" dxfId="21" priority="2" operator="containsText" text="ERRORE">
      <formula>NOT(ISERROR(SEARCH("ERRORE",O83)))</formula>
    </cfRule>
  </conditionalFormatting>
  <conditionalFormatting sqref="O81:O82">
    <cfRule type="containsText" dxfId="20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D10" zoomScale="70" zoomScaleNormal="70" zoomScalePageLayoutView="70" workbookViewId="0">
      <selection activeCell="D51" sqref="D51"/>
    </sheetView>
  </sheetViews>
  <sheetFormatPr baseColWidth="10" defaultColWidth="9.83203125" defaultRowHeight="16" x14ac:dyDescent="0"/>
  <cols>
    <col min="1" max="1" width="5.16406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A1" s="156" t="s">
        <v>115</v>
      </c>
      <c r="B1" s="2" t="str">
        <f>"       PEF 2022 - 2025"&amp;" - "&amp;A1</f>
        <v xml:space="preserve">       PEF 2022 - 2025 - Vigonovo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84">
        <v>2022</v>
      </c>
      <c r="E3" s="185"/>
      <c r="F3" s="186"/>
      <c r="G3" s="184">
        <v>2023</v>
      </c>
      <c r="H3" s="185"/>
      <c r="I3" s="186"/>
      <c r="J3" s="184">
        <v>2024</v>
      </c>
      <c r="K3" s="185"/>
      <c r="L3" s="186"/>
      <c r="M3" s="184">
        <v>2025</v>
      </c>
      <c r="N3" s="185"/>
      <c r="O3" s="186"/>
    </row>
    <row r="4" spans="1:60" s="13" customFormat="1" ht="42" customHeight="1" thickBot="1">
      <c r="A4" s="10"/>
      <c r="B4" s="11"/>
      <c r="C4" s="12"/>
      <c r="D4" s="187" t="s">
        <v>157</v>
      </c>
      <c r="E4" s="188"/>
      <c r="F4" s="189"/>
      <c r="G4" s="187" t="str">
        <f>D4</f>
        <v>Ambito tariffario: VIGONOVO</v>
      </c>
      <c r="H4" s="188"/>
      <c r="I4" s="189"/>
      <c r="J4" s="187" t="str">
        <f>D4</f>
        <v>Ambito tariffario: VIGONOVO</v>
      </c>
      <c r="K4" s="188"/>
      <c r="L4" s="189"/>
      <c r="M4" s="187" t="str">
        <f>D4</f>
        <v>Ambito tariffario: VIGONOVO</v>
      </c>
      <c r="N4" s="188"/>
      <c r="O4" s="18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0</v>
      </c>
      <c r="E5" s="17" t="s">
        <v>1</v>
      </c>
      <c r="F5" s="18" t="s">
        <v>2</v>
      </c>
      <c r="G5" s="17" t="s">
        <v>0</v>
      </c>
      <c r="H5" s="17" t="s">
        <v>1</v>
      </c>
      <c r="I5" s="18" t="s">
        <v>2</v>
      </c>
      <c r="J5" s="17" t="s">
        <v>0</v>
      </c>
      <c r="K5" s="17" t="s">
        <v>1</v>
      </c>
      <c r="L5" s="18" t="s">
        <v>2</v>
      </c>
      <c r="M5" s="17" t="s">
        <v>0</v>
      </c>
      <c r="N5" s="17" t="s">
        <v>1</v>
      </c>
      <c r="O5" s="18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3</v>
      </c>
      <c r="C6" s="21"/>
      <c r="D6" s="22">
        <v>152767.39852053698</v>
      </c>
      <c r="E6" s="22">
        <v>0</v>
      </c>
      <c r="F6" s="23">
        <f>D6+E6</f>
        <v>152767.39852053698</v>
      </c>
      <c r="G6" s="22">
        <v>158030.81601752233</v>
      </c>
      <c r="H6" s="22">
        <v>0</v>
      </c>
      <c r="I6" s="23">
        <f>G6+H6</f>
        <v>158030.81601752233</v>
      </c>
      <c r="J6" s="22">
        <v>158030.81601752233</v>
      </c>
      <c r="K6" s="22">
        <v>0</v>
      </c>
      <c r="L6" s="23">
        <f>J6+K6</f>
        <v>158030.81601752233</v>
      </c>
      <c r="M6" s="22">
        <v>158030.81601752233</v>
      </c>
      <c r="N6" s="22">
        <v>0</v>
      </c>
      <c r="O6" s="23">
        <f>M6+N6</f>
        <v>158030.81601752233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4</v>
      </c>
      <c r="C7" s="21"/>
      <c r="D7" s="22">
        <v>155164.42064369383</v>
      </c>
      <c r="E7" s="22">
        <v>0</v>
      </c>
      <c r="F7" s="23">
        <f t="shared" ref="F7:F20" si="0">D7+E7</f>
        <v>155164.42064369383</v>
      </c>
      <c r="G7" s="22">
        <v>162423.2438058882</v>
      </c>
      <c r="H7" s="22">
        <v>0</v>
      </c>
      <c r="I7" s="23">
        <f t="shared" ref="I7:I13" si="1">G7+H7</f>
        <v>162423.2438058882</v>
      </c>
      <c r="J7" s="22">
        <v>162423.2438058882</v>
      </c>
      <c r="K7" s="22">
        <v>0</v>
      </c>
      <c r="L7" s="23">
        <f t="shared" ref="L7:L12" si="2">J7+K7</f>
        <v>162423.2438058882</v>
      </c>
      <c r="M7" s="22">
        <v>162423.2438058882</v>
      </c>
      <c r="N7" s="22">
        <v>0</v>
      </c>
      <c r="O7" s="23">
        <f t="shared" ref="O7:O13" si="3">M7+N7</f>
        <v>162423.2438058882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5</v>
      </c>
      <c r="C8" s="21"/>
      <c r="D8" s="22">
        <v>166340.139931438</v>
      </c>
      <c r="E8" s="22">
        <v>0</v>
      </c>
      <c r="F8" s="23">
        <f t="shared" si="0"/>
        <v>166340.139931438</v>
      </c>
      <c r="G8" s="22">
        <v>174125.85932383453</v>
      </c>
      <c r="H8" s="22">
        <v>0</v>
      </c>
      <c r="I8" s="23">
        <f t="shared" si="1"/>
        <v>174125.85932383453</v>
      </c>
      <c r="J8" s="22">
        <v>174125.85932383453</v>
      </c>
      <c r="K8" s="22">
        <v>0</v>
      </c>
      <c r="L8" s="23">
        <f t="shared" si="2"/>
        <v>174125.85932383453</v>
      </c>
      <c r="M8" s="22">
        <v>174125.85932383453</v>
      </c>
      <c r="N8" s="22">
        <v>0</v>
      </c>
      <c r="O8" s="23">
        <f t="shared" si="3"/>
        <v>174125.85932383453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6</v>
      </c>
      <c r="C9" s="21"/>
      <c r="D9" s="22">
        <v>346400.31823865121</v>
      </c>
      <c r="E9" s="22">
        <v>0</v>
      </c>
      <c r="F9" s="23">
        <f t="shared" si="0"/>
        <v>346400.31823865121</v>
      </c>
      <c r="G9" s="22">
        <v>356183.97930228623</v>
      </c>
      <c r="H9" s="22">
        <v>0</v>
      </c>
      <c r="I9" s="23">
        <f t="shared" si="1"/>
        <v>356183.97930228623</v>
      </c>
      <c r="J9" s="22">
        <v>356183.97930228623</v>
      </c>
      <c r="K9" s="22">
        <v>0</v>
      </c>
      <c r="L9" s="23">
        <f t="shared" si="2"/>
        <v>356183.97930228623</v>
      </c>
      <c r="M9" s="22">
        <v>356183.97930228623</v>
      </c>
      <c r="N9" s="22">
        <v>0</v>
      </c>
      <c r="O9" s="23">
        <f t="shared" si="3"/>
        <v>356183.97930228623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7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8</v>
      </c>
      <c r="C11" s="21"/>
      <c r="D11" s="22">
        <v>3954.1940207746434</v>
      </c>
      <c r="E11" s="22">
        <v>0</v>
      </c>
      <c r="F11" s="23">
        <f t="shared" si="0"/>
        <v>3954.1940207746434</v>
      </c>
      <c r="G11" s="22">
        <v>3954.1940207746434</v>
      </c>
      <c r="H11" s="22">
        <v>0</v>
      </c>
      <c r="I11" s="23">
        <f t="shared" si="1"/>
        <v>3954.1940207746434</v>
      </c>
      <c r="J11" s="22">
        <v>3954.1940207746434</v>
      </c>
      <c r="K11" s="22">
        <v>0</v>
      </c>
      <c r="L11" s="23">
        <f t="shared" si="2"/>
        <v>3954.1940207746434</v>
      </c>
      <c r="M11" s="22">
        <v>3954.1940207746434</v>
      </c>
      <c r="N11" s="22">
        <v>0</v>
      </c>
      <c r="O11" s="23">
        <f t="shared" si="3"/>
        <v>3954.1940207746434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9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10</v>
      </c>
      <c r="C13" s="21"/>
      <c r="D13" s="22">
        <v>86348.646534494052</v>
      </c>
      <c r="E13" s="22">
        <v>0</v>
      </c>
      <c r="F13" s="23">
        <f t="shared" si="0"/>
        <v>86348.646534494052</v>
      </c>
      <c r="G13" s="22">
        <v>86262.384150343729</v>
      </c>
      <c r="H13" s="22">
        <v>0</v>
      </c>
      <c r="I13" s="23">
        <f t="shared" si="1"/>
        <v>86262.384150343729</v>
      </c>
      <c r="J13" s="22">
        <v>86262.384150343729</v>
      </c>
      <c r="K13" s="22">
        <v>0</v>
      </c>
      <c r="L13" s="23">
        <f>J13+K13</f>
        <v>86262.384150343729</v>
      </c>
      <c r="M13" s="22">
        <v>86262.384150343729</v>
      </c>
      <c r="N13" s="22">
        <v>0</v>
      </c>
      <c r="O13" s="23">
        <f t="shared" si="3"/>
        <v>86262.384150343729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11</v>
      </c>
      <c r="C14" s="21"/>
      <c r="D14" s="22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12</v>
      </c>
      <c r="C15" s="21"/>
      <c r="D15" s="22">
        <v>51809.18792069643</v>
      </c>
      <c r="E15" s="22">
        <v>0</v>
      </c>
      <c r="F15" s="23">
        <f t="shared" si="0"/>
        <v>51809.18792069643</v>
      </c>
      <c r="G15" s="22">
        <v>51757.430490206236</v>
      </c>
      <c r="H15" s="22">
        <v>0</v>
      </c>
      <c r="I15" s="23">
        <f t="shared" ref="I15:I16" si="4">G15+H15</f>
        <v>51757.430490206236</v>
      </c>
      <c r="J15" s="22">
        <v>51757.430490206236</v>
      </c>
      <c r="K15" s="22">
        <v>0</v>
      </c>
      <c r="L15" s="23">
        <f t="shared" ref="L15:L16" si="5">J15+K15</f>
        <v>51757.430490206236</v>
      </c>
      <c r="M15" s="22">
        <v>51757.430490206236</v>
      </c>
      <c r="N15" s="22">
        <v>0</v>
      </c>
      <c r="O15" s="23">
        <f t="shared" ref="O15:O16" si="6">M15+N15</f>
        <v>51757.430490206236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13</v>
      </c>
      <c r="C16" s="21"/>
      <c r="D16" s="22">
        <v>642.9242619061107</v>
      </c>
      <c r="E16" s="22">
        <v>0</v>
      </c>
      <c r="F16" s="23">
        <f t="shared" si="0"/>
        <v>642.9242619061107</v>
      </c>
      <c r="G16" s="22">
        <v>642.28197992618459</v>
      </c>
      <c r="H16" s="22">
        <v>0</v>
      </c>
      <c r="I16" s="23">
        <f t="shared" si="4"/>
        <v>642.28197992618459</v>
      </c>
      <c r="J16" s="22">
        <v>642.28197992618459</v>
      </c>
      <c r="K16" s="22">
        <v>0</v>
      </c>
      <c r="L16" s="23">
        <f t="shared" si="5"/>
        <v>642.28197992618459</v>
      </c>
      <c r="M16" s="22">
        <v>642.28197992618459</v>
      </c>
      <c r="N16" s="22">
        <v>0</v>
      </c>
      <c r="O16" s="23">
        <f t="shared" si="6"/>
        <v>642.28197992618459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14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15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16</v>
      </c>
      <c r="C19" s="21"/>
      <c r="D19" s="22">
        <v>424.33001285803306</v>
      </c>
      <c r="E19" s="22">
        <v>0</v>
      </c>
      <c r="F19" s="23">
        <f t="shared" si="0"/>
        <v>424.33001285803306</v>
      </c>
      <c r="G19" s="22">
        <v>423.90610675128187</v>
      </c>
      <c r="H19" s="22">
        <v>0</v>
      </c>
      <c r="I19" s="23">
        <f t="shared" ref="I19:I20" si="7">G19+H19</f>
        <v>423.90610675128187</v>
      </c>
      <c r="J19" s="22">
        <v>423.90610675128187</v>
      </c>
      <c r="K19" s="22">
        <v>0</v>
      </c>
      <c r="L19" s="23">
        <f t="shared" ref="L19:L20" si="8">J19+K19</f>
        <v>423.90610675128187</v>
      </c>
      <c r="M19" s="32">
        <v>423.90610675128187</v>
      </c>
      <c r="N19" s="33">
        <v>0</v>
      </c>
      <c r="O19" s="23">
        <f t="shared" ref="O19:O20" si="9">M19+N19</f>
        <v>423.90610675128187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17</v>
      </c>
      <c r="C20" s="21"/>
      <c r="D20" s="180">
        <f>189185-D44</f>
        <v>171437.13465816528</v>
      </c>
      <c r="E20" s="22">
        <v>0</v>
      </c>
      <c r="F20" s="23">
        <f t="shared" si="0"/>
        <v>171437.13465816528</v>
      </c>
      <c r="G20" s="180">
        <v>57625.985794109583</v>
      </c>
      <c r="H20" s="22">
        <v>0</v>
      </c>
      <c r="I20" s="23">
        <f t="shared" si="7"/>
        <v>57625.985794109583</v>
      </c>
      <c r="J20" s="22">
        <v>23120.514375000002</v>
      </c>
      <c r="K20" s="22">
        <v>0</v>
      </c>
      <c r="L20" s="23">
        <f t="shared" si="8"/>
        <v>23120.514375000002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18</v>
      </c>
      <c r="C21" s="21"/>
      <c r="D21" s="34"/>
      <c r="E21" s="22"/>
      <c r="F21" s="23">
        <f>E21</f>
        <v>0</v>
      </c>
      <c r="G21" s="34"/>
      <c r="H21" s="22"/>
      <c r="I21" s="23">
        <f>H21</f>
        <v>0</v>
      </c>
      <c r="J21" s="34"/>
      <c r="K21" s="22"/>
      <c r="L21" s="23">
        <f>K21</f>
        <v>0</v>
      </c>
      <c r="M21" s="34"/>
      <c r="N21" s="22"/>
      <c r="O21" s="23">
        <f>N21</f>
        <v>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19</v>
      </c>
      <c r="C22" s="21"/>
      <c r="D22" s="34"/>
      <c r="E22" s="34"/>
      <c r="F22" s="34"/>
      <c r="G22" s="22"/>
      <c r="H22" s="22">
        <v>0</v>
      </c>
      <c r="I22" s="36">
        <f t="shared" ref="I22" si="10">G22+H22</f>
        <v>0</v>
      </c>
      <c r="J22" s="22">
        <v>93439.776695735985</v>
      </c>
      <c r="K22" s="22">
        <v>0</v>
      </c>
      <c r="L22" s="36">
        <f t="shared" ref="L22" si="11">J22+K22</f>
        <v>93439.776695735985</v>
      </c>
      <c r="M22" s="22">
        <v>170777.22330426401</v>
      </c>
      <c r="N22" s="22">
        <v>0</v>
      </c>
      <c r="O22" s="36">
        <f t="shared" ref="O22" si="12">M22+N22</f>
        <v>170777.22330426401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20</v>
      </c>
      <c r="C23" s="21"/>
      <c r="D23" s="38">
        <f>D6+D7+D8+D9+D10+D11+D12-D15-D19+D20</f>
        <v>943830.0880797056</v>
      </c>
      <c r="E23" s="38">
        <f>E6+E7+E8+E9+E10+E11+E12-E15-E19+E20+E21</f>
        <v>0</v>
      </c>
      <c r="F23" s="38">
        <f>D23+E23</f>
        <v>943830.0880797056</v>
      </c>
      <c r="G23" s="38">
        <f>G6+G7+G8+G9+G10+G11+G12-G15-G19+G20+G22</f>
        <v>860162.74166745809</v>
      </c>
      <c r="H23" s="38">
        <f>H6+H7+H8+H9+H10+H11+H12-H15-H19+H20+H21+H22</f>
        <v>0</v>
      </c>
      <c r="I23" s="38">
        <f>G23+H23</f>
        <v>860162.74166745809</v>
      </c>
      <c r="J23" s="38">
        <f>J6+J7+J8+J9+J10+J11+J12-J15-J19+J20+J22</f>
        <v>919097.04694408446</v>
      </c>
      <c r="K23" s="38">
        <f>K6+K7+K8+K9+K10+K11+K12-K15-K19+K20+K21+K22</f>
        <v>0</v>
      </c>
      <c r="L23" s="38">
        <f>J23+K23</f>
        <v>919097.04694408446</v>
      </c>
      <c r="M23" s="38">
        <f>M6+M7+M8+M9+M10+M11+M12-M15-M19+M20+M22</f>
        <v>973313.97917761246</v>
      </c>
      <c r="N23" s="38">
        <f>N6+N7+N8+N9+N10+N11+N12-N15-N19+N20+N21+N22</f>
        <v>0</v>
      </c>
      <c r="O23" s="38">
        <f>M23+N23</f>
        <v>973313.97917761246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21</v>
      </c>
      <c r="C25" s="21"/>
      <c r="D25" s="44">
        <v>181188.06315412215</v>
      </c>
      <c r="E25" s="44">
        <v>0</v>
      </c>
      <c r="F25" s="45">
        <f t="shared" ref="F25:F44" si="13">D25+E25</f>
        <v>181188.06315412215</v>
      </c>
      <c r="G25" s="44">
        <v>189388.09178402918</v>
      </c>
      <c r="H25" s="44">
        <v>0</v>
      </c>
      <c r="I25" s="45">
        <f t="shared" ref="I25:I33" si="14">G25+H25</f>
        <v>189388.09178402918</v>
      </c>
      <c r="J25" s="44">
        <v>189388.09178402918</v>
      </c>
      <c r="K25" s="44">
        <v>0</v>
      </c>
      <c r="L25" s="45">
        <f t="shared" ref="L25:L44" si="15">J25+K25</f>
        <v>189388.09178402918</v>
      </c>
      <c r="M25" s="44">
        <v>189388.09178402918</v>
      </c>
      <c r="N25" s="44">
        <v>0</v>
      </c>
      <c r="O25" s="45">
        <f t="shared" ref="O25:O43" si="16">M25+N25</f>
        <v>189388.09178402918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22</v>
      </c>
      <c r="C26" s="21"/>
      <c r="D26" s="22">
        <v>88622.850326098967</v>
      </c>
      <c r="E26" s="22">
        <v>0</v>
      </c>
      <c r="F26" s="36">
        <f t="shared" si="13"/>
        <v>88622.850326098967</v>
      </c>
      <c r="G26" s="22">
        <v>91218.986505814333</v>
      </c>
      <c r="H26" s="22">
        <v>0</v>
      </c>
      <c r="I26" s="36">
        <f t="shared" si="14"/>
        <v>91218.986505814333</v>
      </c>
      <c r="J26" s="22">
        <v>91218.986505814333</v>
      </c>
      <c r="K26" s="22">
        <v>0</v>
      </c>
      <c r="L26" s="36">
        <f t="shared" si="15"/>
        <v>91218.986505814333</v>
      </c>
      <c r="M26" s="22">
        <v>91218.986505814333</v>
      </c>
      <c r="N26" s="22">
        <v>0</v>
      </c>
      <c r="O26" s="36">
        <f t="shared" si="16"/>
        <v>91218.986505814333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23</v>
      </c>
      <c r="C27" s="21"/>
      <c r="D27" s="47">
        <v>121375.20451817253</v>
      </c>
      <c r="E27" s="47">
        <v>0</v>
      </c>
      <c r="F27" s="48">
        <f t="shared" si="13"/>
        <v>121375.20451817253</v>
      </c>
      <c r="G27" s="47">
        <v>126048.92501296033</v>
      </c>
      <c r="H27" s="47">
        <v>0</v>
      </c>
      <c r="I27" s="48">
        <f t="shared" si="14"/>
        <v>126048.92501296033</v>
      </c>
      <c r="J27" s="47">
        <v>126048.92501296033</v>
      </c>
      <c r="K27" s="47">
        <v>0</v>
      </c>
      <c r="L27" s="48">
        <f t="shared" si="15"/>
        <v>126048.92501296033</v>
      </c>
      <c r="M27" s="47">
        <v>126048.92501296033</v>
      </c>
      <c r="N27" s="47">
        <v>0</v>
      </c>
      <c r="O27" s="48">
        <f t="shared" si="16"/>
        <v>126048.92501296033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24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25</v>
      </c>
      <c r="C29" s="21"/>
      <c r="D29" s="47">
        <v>17731.369277043137</v>
      </c>
      <c r="E29" s="47">
        <v>0</v>
      </c>
      <c r="F29" s="48">
        <f t="shared" si="13"/>
        <v>17731.369277043137</v>
      </c>
      <c r="G29" s="47">
        <v>17858.754241220886</v>
      </c>
      <c r="H29" s="47">
        <v>0</v>
      </c>
      <c r="I29" s="48">
        <f t="shared" si="14"/>
        <v>17858.754241220886</v>
      </c>
      <c r="J29" s="47">
        <v>17858.754241220886</v>
      </c>
      <c r="K29" s="47">
        <v>0</v>
      </c>
      <c r="L29" s="48">
        <f t="shared" si="15"/>
        <v>17858.754241220886</v>
      </c>
      <c r="M29" s="47">
        <v>17858.754241220886</v>
      </c>
      <c r="N29" s="47">
        <v>0</v>
      </c>
      <c r="O29" s="48">
        <f t="shared" si="16"/>
        <v>17858.754241220886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26</v>
      </c>
      <c r="C30" s="21"/>
      <c r="D30" s="51">
        <f>+D26+D27+D28+D29</f>
        <v>227729.42412131466</v>
      </c>
      <c r="E30" s="51">
        <f>+E26+E27+E28+E29</f>
        <v>0</v>
      </c>
      <c r="F30" s="52">
        <f t="shared" si="13"/>
        <v>227729.42412131466</v>
      </c>
      <c r="G30" s="51">
        <f>+G26+G27+G28+G29</f>
        <v>235126.66575999555</v>
      </c>
      <c r="H30" s="51">
        <f>+H26+H27+H28+H29</f>
        <v>0</v>
      </c>
      <c r="I30" s="52">
        <f t="shared" si="14"/>
        <v>235126.66575999555</v>
      </c>
      <c r="J30" s="51">
        <f>+J26+J27+J28+J29</f>
        <v>235126.66575999555</v>
      </c>
      <c r="K30" s="51">
        <f>+K26+K27+K28+K29</f>
        <v>0</v>
      </c>
      <c r="L30" s="52">
        <f t="shared" si="15"/>
        <v>235126.66575999555</v>
      </c>
      <c r="M30" s="51">
        <f>+M26+M27+M28+M29</f>
        <v>235126.66575999555</v>
      </c>
      <c r="N30" s="51">
        <f>+N26+N27+N28+N29</f>
        <v>0</v>
      </c>
      <c r="O30" s="52">
        <f t="shared" si="16"/>
        <v>235126.66575999555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27</v>
      </c>
      <c r="C31" s="21"/>
      <c r="D31" s="147">
        <f>VLOOKUP($A$1,REM_ToolEnrico!$B$5:$J$38,2,FALSE)</f>
        <v>95508.795035355724</v>
      </c>
      <c r="E31" s="53">
        <v>0</v>
      </c>
      <c r="F31" s="48">
        <f t="shared" si="13"/>
        <v>95508.795035355724</v>
      </c>
      <c r="G31" s="147">
        <f>VLOOKUP($A$1,REM_ToolEnrico!$B$5:$J$38,4,FALSE)</f>
        <v>83255.08103543584</v>
      </c>
      <c r="H31" s="53">
        <v>0</v>
      </c>
      <c r="I31" s="48">
        <f t="shared" si="14"/>
        <v>83255.08103543584</v>
      </c>
      <c r="J31" s="147">
        <f>VLOOKUP($A$1,REM_ToolEnrico!$B$5:$J$38,6,FALSE)</f>
        <v>77363.078930150165</v>
      </c>
      <c r="K31" s="53">
        <v>0</v>
      </c>
      <c r="L31" s="48">
        <f t="shared" si="15"/>
        <v>77363.078930150165</v>
      </c>
      <c r="M31" s="147">
        <f>VLOOKUP($A$1,REM_ToolEnrico!$B$5:$J$38,8,FALSE)</f>
        <v>72649.663308976102</v>
      </c>
      <c r="N31" s="53">
        <v>0</v>
      </c>
      <c r="O31" s="48">
        <f t="shared" si="16"/>
        <v>72649.663308976102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28</v>
      </c>
      <c r="C32" s="21"/>
      <c r="D32" s="54">
        <f>+D33+D34+D35+D36</f>
        <v>54943.321088241777</v>
      </c>
      <c r="E32" s="54">
        <f>+E33+E34+E35+E36</f>
        <v>0</v>
      </c>
      <c r="F32" s="48">
        <f t="shared" si="13"/>
        <v>54943.321088241777</v>
      </c>
      <c r="G32" s="54">
        <f>+G33+G34+G35+G36</f>
        <v>54888.432655586206</v>
      </c>
      <c r="H32" s="54">
        <f>+H33+H34+H35+H36</f>
        <v>0</v>
      </c>
      <c r="I32" s="48">
        <f t="shared" si="14"/>
        <v>54888.432655586206</v>
      </c>
      <c r="J32" s="54">
        <f>+J33+J34+J35+J36</f>
        <v>54888.432655586206</v>
      </c>
      <c r="K32" s="54">
        <f>+K33+K34+K35+K36</f>
        <v>0</v>
      </c>
      <c r="L32" s="48">
        <f t="shared" si="15"/>
        <v>54888.432655586206</v>
      </c>
      <c r="M32" s="54">
        <f>+M33+M34+M35+M36</f>
        <v>54888.432655586206</v>
      </c>
      <c r="N32" s="54">
        <f>+N33+N34+N35+N36</f>
        <v>0</v>
      </c>
      <c r="O32" s="48">
        <f t="shared" si="16"/>
        <v>54888.432655586206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29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30</v>
      </c>
      <c r="C34" s="21"/>
      <c r="D34" s="47">
        <v>54943.321088241777</v>
      </c>
      <c r="E34" s="47">
        <v>0</v>
      </c>
      <c r="F34" s="48">
        <f>D34+E34</f>
        <v>54943.321088241777</v>
      </c>
      <c r="G34" s="47">
        <v>54888.432655586206</v>
      </c>
      <c r="H34" s="47">
        <v>0</v>
      </c>
      <c r="I34" s="48">
        <f>G34+H34</f>
        <v>54888.432655586206</v>
      </c>
      <c r="J34" s="47">
        <v>54888.432655586206</v>
      </c>
      <c r="K34" s="158">
        <v>0</v>
      </c>
      <c r="L34" s="48">
        <f t="shared" si="15"/>
        <v>54888.432655586206</v>
      </c>
      <c r="M34" s="47">
        <v>54888.432655586206</v>
      </c>
      <c r="N34" s="158">
        <v>0</v>
      </c>
      <c r="O34" s="48">
        <f t="shared" si="16"/>
        <v>54888.432655586206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31</v>
      </c>
      <c r="C35" s="21"/>
      <c r="D35" s="47">
        <v>0</v>
      </c>
      <c r="E35" s="47">
        <v>0</v>
      </c>
      <c r="F35" s="48">
        <f t="shared" si="13"/>
        <v>0</v>
      </c>
      <c r="G35" s="47">
        <v>0</v>
      </c>
      <c r="H35" s="47">
        <v>0</v>
      </c>
      <c r="I35" s="48">
        <f t="shared" ref="I35:I44" si="17">G35+H35</f>
        <v>0</v>
      </c>
      <c r="J35" s="47">
        <v>0</v>
      </c>
      <c r="K35" s="47">
        <v>0</v>
      </c>
      <c r="L35" s="48">
        <f t="shared" si="15"/>
        <v>0</v>
      </c>
      <c r="M35" s="47">
        <v>0</v>
      </c>
      <c r="N35" s="47">
        <v>0</v>
      </c>
      <c r="O35" s="48">
        <f t="shared" si="16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32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33</v>
      </c>
      <c r="C37" s="21"/>
      <c r="D37" s="148">
        <f>VLOOKUP($A$1,REM_ToolEnrico!$B$5:$J$38,3,FALSE)-VLOOKUP($A$1,REM_ToolEnrico_detterreni!$B$5:$C$38,2,FALSE)</f>
        <v>54288.648176681709</v>
      </c>
      <c r="E37" s="47">
        <v>0</v>
      </c>
      <c r="F37" s="48">
        <f t="shared" si="13"/>
        <v>54288.648176681709</v>
      </c>
      <c r="G37" s="147">
        <f>VLOOKUP($A$1,REM_ToolEnrico!$B$5:$J$38,5,FALSE)</f>
        <v>54111.685815599376</v>
      </c>
      <c r="H37" s="47">
        <v>0</v>
      </c>
      <c r="I37" s="48">
        <f t="shared" si="17"/>
        <v>54111.685815599376</v>
      </c>
      <c r="J37" s="147">
        <f>VLOOKUP($A$1,REM_ToolEnrico!$B$5:$J$38,7,FALSE)</f>
        <v>51801.229413476642</v>
      </c>
      <c r="K37" s="47">
        <v>0</v>
      </c>
      <c r="L37" s="48">
        <f t="shared" si="15"/>
        <v>51801.229413476642</v>
      </c>
      <c r="M37" s="147">
        <f>VLOOKUP($A$1,REM_ToolEnrico!$B$5:$J$38,9,FALSE)</f>
        <v>49367.422047250933</v>
      </c>
      <c r="N37" s="47">
        <v>0</v>
      </c>
      <c r="O37" s="48">
        <f t="shared" si="16"/>
        <v>49367.422047250933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34</v>
      </c>
      <c r="C38" s="21"/>
      <c r="D38" s="47">
        <v>569.66404907280935</v>
      </c>
      <c r="E38" s="47">
        <v>0</v>
      </c>
      <c r="F38" s="48">
        <f t="shared" si="13"/>
        <v>569.66404907280935</v>
      </c>
      <c r="G38" s="47">
        <v>570.80337717095495</v>
      </c>
      <c r="H38" s="47">
        <v>0</v>
      </c>
      <c r="I38" s="48">
        <f t="shared" si="17"/>
        <v>570.80337717095495</v>
      </c>
      <c r="J38" s="47">
        <v>570.80337717095495</v>
      </c>
      <c r="K38" s="47">
        <v>0</v>
      </c>
      <c r="L38" s="48">
        <f t="shared" si="15"/>
        <v>570.80337717095495</v>
      </c>
      <c r="M38" s="47">
        <v>570.80337717095495</v>
      </c>
      <c r="N38" s="47">
        <v>0</v>
      </c>
      <c r="O38" s="48">
        <f t="shared" si="16"/>
        <v>570.80337717095495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35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36</v>
      </c>
      <c r="C40" s="21"/>
      <c r="D40" s="51">
        <f>D38+D37+D32+D31+D39</f>
        <v>205310.42834935203</v>
      </c>
      <c r="E40" s="51">
        <f>E38+E37+E32+E31+E39</f>
        <v>0</v>
      </c>
      <c r="F40" s="52">
        <f t="shared" si="13"/>
        <v>205310.42834935203</v>
      </c>
      <c r="G40" s="51">
        <f>G38+G37+G32+G31+G39</f>
        <v>192826.00288379239</v>
      </c>
      <c r="H40" s="51">
        <f>H38+H37+H32+H31+H39</f>
        <v>0</v>
      </c>
      <c r="I40" s="52">
        <f t="shared" si="17"/>
        <v>192826.00288379239</v>
      </c>
      <c r="J40" s="51">
        <f>J38+J37+J32+J31+J39</f>
        <v>184623.54437638397</v>
      </c>
      <c r="K40" s="51">
        <f>K38+K37+K32+K31+K39</f>
        <v>0</v>
      </c>
      <c r="L40" s="52">
        <f t="shared" si="15"/>
        <v>184623.54437638397</v>
      </c>
      <c r="M40" s="51">
        <f>M38+M37+M32+M31+M39</f>
        <v>177476.32138898419</v>
      </c>
      <c r="N40" s="51">
        <f>N38+N37+N32+N31+N39</f>
        <v>0</v>
      </c>
      <c r="O40" s="52">
        <f t="shared" si="16"/>
        <v>177476.32138898419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37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38</v>
      </c>
      <c r="C42" s="21"/>
      <c r="D42" s="22">
        <v>6558.6898157915421</v>
      </c>
      <c r="E42" s="22">
        <v>0</v>
      </c>
      <c r="F42" s="36">
        <f t="shared" si="13"/>
        <v>6558.6898157915421</v>
      </c>
      <c r="G42" s="22">
        <v>12358.174379594351</v>
      </c>
      <c r="H42" s="22">
        <v>0</v>
      </c>
      <c r="I42" s="36">
        <f t="shared" si="17"/>
        <v>12358.174379594351</v>
      </c>
      <c r="J42" s="22">
        <v>12358.174379594351</v>
      </c>
      <c r="K42" s="22">
        <v>0</v>
      </c>
      <c r="L42" s="36">
        <f t="shared" si="15"/>
        <v>12358.174379594351</v>
      </c>
      <c r="M42" s="22">
        <v>12358.174379594351</v>
      </c>
      <c r="N42" s="22">
        <v>0</v>
      </c>
      <c r="O42" s="36">
        <f t="shared" si="16"/>
        <v>12358.174379594351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39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40</v>
      </c>
      <c r="C44" s="21"/>
      <c r="D44" s="57">
        <v>17747.865341834709</v>
      </c>
      <c r="E44" s="57">
        <v>0</v>
      </c>
      <c r="F44" s="36">
        <f t="shared" si="13"/>
        <v>17747.865341834709</v>
      </c>
      <c r="G44" s="57">
        <v>0</v>
      </c>
      <c r="H44" s="57">
        <v>0</v>
      </c>
      <c r="I44" s="36">
        <f t="shared" si="17"/>
        <v>0</v>
      </c>
      <c r="J44" s="57">
        <v>0</v>
      </c>
      <c r="K44" s="57">
        <v>0</v>
      </c>
      <c r="L44" s="36">
        <f t="shared" si="15"/>
        <v>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41</v>
      </c>
      <c r="C45" s="21"/>
      <c r="D45" s="34"/>
      <c r="E45" s="22"/>
      <c r="F45" s="36">
        <f>E45</f>
        <v>0</v>
      </c>
      <c r="G45" s="34"/>
      <c r="H45" s="22"/>
      <c r="I45" s="36">
        <f>H45</f>
        <v>0</v>
      </c>
      <c r="J45" s="34"/>
      <c r="K45" s="22"/>
      <c r="L45" s="36">
        <f>K45</f>
        <v>0</v>
      </c>
      <c r="M45" s="34"/>
      <c r="N45" s="22"/>
      <c r="O45" s="36">
        <f>N45</f>
        <v>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42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43</v>
      </c>
      <c r="C47" s="21"/>
      <c r="D47" s="59">
        <f>D25+D30+D40+D41+D42+D43+D44</f>
        <v>638534.47078241513</v>
      </c>
      <c r="E47" s="59">
        <f>E25+E30+E40+E41+E42+E43+E44+E45</f>
        <v>0</v>
      </c>
      <c r="F47" s="60">
        <f>D47+E47</f>
        <v>638534.47078241513</v>
      </c>
      <c r="G47" s="59">
        <f>G25+G30+G40+G41+G42+G43+G44+G46</f>
        <v>629698.93480741151</v>
      </c>
      <c r="H47" s="59">
        <f>H25+H30+H40+H41+H42+H43+H44+H45+H46</f>
        <v>0</v>
      </c>
      <c r="I47" s="60">
        <f>G47+H47</f>
        <v>629698.93480741151</v>
      </c>
      <c r="J47" s="59">
        <f>J25+J30+J40+J41+J42+J43+J44+J46</f>
        <v>621496.47630000312</v>
      </c>
      <c r="K47" s="59">
        <f>K25+K30+K40+K41+K42+K43+K44+K45+K46</f>
        <v>0</v>
      </c>
      <c r="L47" s="60">
        <f>J47+K47</f>
        <v>621496.47630000312</v>
      </c>
      <c r="M47" s="59">
        <f>M25+M30+M40+M41+M42+M43+M44+M46</f>
        <v>614349.25331260334</v>
      </c>
      <c r="N47" s="59">
        <f>N25+N30+N40+N41+N42+N43+N44+N45+N46</f>
        <v>0</v>
      </c>
      <c r="O47" s="60">
        <f>M47+N47</f>
        <v>614349.25331260334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44</v>
      </c>
      <c r="C49" s="21"/>
      <c r="D49" s="65">
        <f>D50+VLOOKUP($A$1,REM_ToolEnrico_detterreni!$B$5:$C$38,2,FALSE)</f>
        <v>1583970.8306562323</v>
      </c>
      <c r="E49" s="65">
        <v>0</v>
      </c>
      <c r="F49" s="65">
        <f>D49+E49</f>
        <v>1583970.8306562323</v>
      </c>
      <c r="G49" s="65">
        <f>G50</f>
        <v>1489861.6764748697</v>
      </c>
      <c r="H49" s="65">
        <v>0</v>
      </c>
      <c r="I49" s="65">
        <f t="shared" ref="I49" si="21">G49+H49</f>
        <v>1489861.6764748697</v>
      </c>
      <c r="J49" s="65">
        <f>J50</f>
        <v>1540593.5232440876</v>
      </c>
      <c r="K49" s="65">
        <v>0</v>
      </c>
      <c r="L49" s="65">
        <f t="shared" ref="L49" si="22">J49+K49</f>
        <v>1540593.5232440876</v>
      </c>
      <c r="M49" s="65">
        <f>M50</f>
        <v>1587663.2324902159</v>
      </c>
      <c r="N49" s="65">
        <v>0</v>
      </c>
      <c r="O49" s="65">
        <f t="shared" ref="O49" si="23">M49+N49</f>
        <v>1587663.2324902159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45</v>
      </c>
      <c r="C50" s="21"/>
      <c r="D50" s="59">
        <f t="shared" ref="D50:O50" si="24">+D23+D47</f>
        <v>1582364.5588621208</v>
      </c>
      <c r="E50" s="59">
        <f t="shared" si="24"/>
        <v>0</v>
      </c>
      <c r="F50" s="59">
        <f t="shared" si="24"/>
        <v>1582364.5588621208</v>
      </c>
      <c r="G50" s="59">
        <f>+G23+G47</f>
        <v>1489861.6764748697</v>
      </c>
      <c r="H50" s="59">
        <f t="shared" si="24"/>
        <v>0</v>
      </c>
      <c r="I50" s="59">
        <f t="shared" si="24"/>
        <v>1489861.6764748697</v>
      </c>
      <c r="J50" s="59">
        <f t="shared" si="24"/>
        <v>1540593.5232440876</v>
      </c>
      <c r="K50" s="59">
        <f>+K23+K47</f>
        <v>0</v>
      </c>
      <c r="L50" s="59">
        <f t="shared" si="24"/>
        <v>1540593.5232440876</v>
      </c>
      <c r="M50" s="59">
        <f>+M23+M47</f>
        <v>1587663.2324902159</v>
      </c>
      <c r="N50" s="59">
        <f t="shared" si="24"/>
        <v>0</v>
      </c>
      <c r="O50" s="59">
        <f t="shared" si="24"/>
        <v>1587663.2324902159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>
        <f>D44+D20</f>
        <v>189185</v>
      </c>
      <c r="E51" s="68"/>
      <c r="F51" s="146"/>
      <c r="G51" s="68">
        <f>G44+G20</f>
        <v>57625.985794109583</v>
      </c>
      <c r="H51" s="68"/>
      <c r="I51" s="146"/>
      <c r="J51" s="68">
        <f>J44+J20</f>
        <v>23120.514375000002</v>
      </c>
      <c r="K51" s="68"/>
      <c r="L51" s="146"/>
      <c r="M51" s="68"/>
      <c r="N51" s="68"/>
      <c r="O51" s="146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46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47</v>
      </c>
      <c r="C53" s="21"/>
      <c r="D53" s="72"/>
      <c r="E53" s="73"/>
      <c r="F53" s="74">
        <v>0.78400000000000003</v>
      </c>
      <c r="G53" s="72"/>
      <c r="H53" s="73"/>
      <c r="I53" s="74">
        <v>0.78400000000000003</v>
      </c>
      <c r="J53" s="72"/>
      <c r="K53" s="73"/>
      <c r="L53" s="74">
        <v>0.78400000000000003</v>
      </c>
      <c r="M53" s="72"/>
      <c r="N53" s="73"/>
      <c r="O53" s="74">
        <v>0.78400000000000003</v>
      </c>
    </row>
    <row r="54" spans="2:52" s="14" customFormat="1" ht="20" customHeight="1">
      <c r="B54" s="75" t="s">
        <v>48</v>
      </c>
      <c r="C54" s="21"/>
      <c r="D54" s="34"/>
      <c r="E54" s="76"/>
      <c r="F54" s="77">
        <v>3881.241</v>
      </c>
      <c r="G54" s="34"/>
      <c r="H54" s="76"/>
      <c r="I54" s="77">
        <v>3881.241</v>
      </c>
      <c r="J54" s="34"/>
      <c r="K54" s="76"/>
      <c r="L54" s="77">
        <v>3881.241</v>
      </c>
      <c r="M54" s="34"/>
      <c r="N54" s="76"/>
      <c r="O54" s="77">
        <v>3881.241</v>
      </c>
    </row>
    <row r="55" spans="2:52" s="14" customFormat="1" ht="20" customHeight="1">
      <c r="B55" s="25" t="s">
        <v>49</v>
      </c>
      <c r="C55" s="21"/>
      <c r="D55" s="34"/>
      <c r="E55" s="76"/>
      <c r="F55" s="78">
        <v>35.923474191459555</v>
      </c>
      <c r="G55" s="34"/>
      <c r="H55" s="76"/>
      <c r="I55" s="78">
        <v>32.860091594758813</v>
      </c>
      <c r="J55" s="34"/>
      <c r="K55" s="76"/>
      <c r="L55" s="78">
        <v>34.995997548418138</v>
      </c>
      <c r="M55" s="34"/>
      <c r="N55" s="76"/>
      <c r="O55" s="78">
        <v>37.270737389065317</v>
      </c>
    </row>
    <row r="56" spans="2:52" s="14" customFormat="1" ht="20" customHeight="1" thickBot="1">
      <c r="B56" s="79" t="s">
        <v>50</v>
      </c>
      <c r="C56" s="80"/>
      <c r="D56" s="81"/>
      <c r="E56" s="82"/>
      <c r="F56" s="83">
        <v>27.471006657848037</v>
      </c>
      <c r="G56" s="81"/>
      <c r="H56" s="82"/>
      <c r="I56" s="78">
        <v>27.471006657848037</v>
      </c>
      <c r="J56" s="81"/>
      <c r="K56" s="82"/>
      <c r="L56" s="78">
        <v>27.471006657848037</v>
      </c>
      <c r="M56" s="81"/>
      <c r="N56" s="82"/>
      <c r="O56" s="78">
        <v>27.471006657848037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51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52</v>
      </c>
      <c r="C59" s="21"/>
      <c r="D59" s="72"/>
      <c r="E59" s="73"/>
      <c r="F59" s="86">
        <v>-7.999999999999996E-2</v>
      </c>
      <c r="G59" s="87"/>
      <c r="H59" s="73"/>
      <c r="I59" s="86">
        <v>-7.999999999999996E-2</v>
      </c>
      <c r="J59" s="72"/>
      <c r="K59" s="73"/>
      <c r="L59" s="88">
        <v>-7.999999999999996E-2</v>
      </c>
      <c r="M59" s="72"/>
      <c r="N59" s="73"/>
      <c r="O59" s="88">
        <v>-7.999999999999996E-2</v>
      </c>
    </row>
    <row r="60" spans="2:52" s="14" customFormat="1" ht="20" customHeight="1">
      <c r="B60" s="25" t="s">
        <v>53</v>
      </c>
      <c r="C60" s="21"/>
      <c r="D60" s="34"/>
      <c r="E60" s="76"/>
      <c r="F60" s="89">
        <v>-5.0151417662197106E-2</v>
      </c>
      <c r="G60" s="90"/>
      <c r="H60" s="76"/>
      <c r="I60" s="89">
        <v>-5.0151417662197106E-2</v>
      </c>
      <c r="J60" s="34"/>
      <c r="K60" s="91"/>
      <c r="L60" s="89">
        <v>-5.0151417662197106E-2</v>
      </c>
      <c r="M60" s="34"/>
      <c r="N60" s="76"/>
      <c r="O60" s="89">
        <v>-5.0151417662197106E-2</v>
      </c>
    </row>
    <row r="61" spans="2:52" s="14" customFormat="1" ht="20" customHeight="1">
      <c r="B61" s="58" t="s">
        <v>54</v>
      </c>
      <c r="C61" s="21"/>
      <c r="D61" s="34"/>
      <c r="E61" s="76"/>
      <c r="F61" s="92">
        <v>-0.13015141766219707</v>
      </c>
      <c r="G61" s="90"/>
      <c r="H61" s="76"/>
      <c r="I61" s="92">
        <v>-0.13015141766219707</v>
      </c>
      <c r="J61" s="34"/>
      <c r="K61" s="76"/>
      <c r="L61" s="93">
        <v>-0.13015141766219707</v>
      </c>
      <c r="M61" s="34"/>
      <c r="N61" s="76"/>
      <c r="O61" s="92">
        <v>-0.13015141766219707</v>
      </c>
    </row>
    <row r="62" spans="2:52" s="14" customFormat="1" ht="20" customHeight="1" thickBot="1">
      <c r="B62" s="37" t="s">
        <v>55</v>
      </c>
      <c r="C62" s="80"/>
      <c r="D62" s="81"/>
      <c r="E62" s="82"/>
      <c r="F62" s="94">
        <v>0.86984858233780293</v>
      </c>
      <c r="G62" s="95"/>
      <c r="H62" s="82"/>
      <c r="I62" s="94">
        <v>0.86984858233780293</v>
      </c>
      <c r="J62" s="81"/>
      <c r="K62" s="82"/>
      <c r="L62" s="94">
        <v>0.86984858233780293</v>
      </c>
      <c r="M62" s="81"/>
      <c r="N62" s="82"/>
      <c r="O62" s="94">
        <v>0.86984858233780293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56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57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58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59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60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61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62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63</v>
      </c>
      <c r="C71" s="21"/>
      <c r="D71" s="34"/>
      <c r="E71" s="76"/>
      <c r="F71" s="106">
        <v>1.0649999999999999</v>
      </c>
      <c r="G71" s="34"/>
      <c r="H71" s="76"/>
      <c r="I71" s="106">
        <v>1.0649999999999999</v>
      </c>
      <c r="J71" s="34"/>
      <c r="K71" s="76"/>
      <c r="L71" s="106">
        <v>1.0649999999999999</v>
      </c>
      <c r="M71" s="34"/>
      <c r="N71" s="76"/>
      <c r="O71" s="106"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64</v>
      </c>
      <c r="C72" s="40"/>
      <c r="D72" s="34"/>
      <c r="E72" s="76"/>
      <c r="F72" s="108">
        <f>F50</f>
        <v>1582364.5588621208</v>
      </c>
      <c r="G72" s="34"/>
      <c r="H72" s="76"/>
      <c r="I72" s="108">
        <f>I50</f>
        <v>1489861.6764748697</v>
      </c>
      <c r="J72" s="34"/>
      <c r="K72" s="76"/>
      <c r="L72" s="108">
        <f>L50</f>
        <v>1540593.5232440876</v>
      </c>
      <c r="M72" s="34"/>
      <c r="N72" s="76"/>
      <c r="O72" s="108">
        <f>O50</f>
        <v>1587663.2324902159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65</v>
      </c>
      <c r="C73" s="40"/>
      <c r="D73" s="34"/>
      <c r="E73" s="76"/>
      <c r="F73" s="110">
        <v>839998.38606981328</v>
      </c>
      <c r="G73" s="34"/>
      <c r="H73" s="76"/>
      <c r="I73" s="110">
        <f>F81</f>
        <v>719744.53442578437</v>
      </c>
      <c r="J73" s="34"/>
      <c r="K73" s="76"/>
      <c r="L73" s="110">
        <f>I81</f>
        <v>816868.20573932095</v>
      </c>
      <c r="M73" s="34"/>
      <c r="N73" s="76"/>
      <c r="O73" s="110">
        <f>L81</f>
        <v>919097.04694408446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66</v>
      </c>
      <c r="C74" s="40"/>
      <c r="D74" s="34"/>
      <c r="E74" s="76"/>
      <c r="F74" s="110">
        <v>435380.96154351969</v>
      </c>
      <c r="G74" s="34"/>
      <c r="H74" s="76"/>
      <c r="I74" s="110">
        <f>F82</f>
        <v>638534.47078241524</v>
      </c>
      <c r="J74" s="34"/>
      <c r="K74" s="76"/>
      <c r="L74" s="110">
        <f>I82</f>
        <v>629698.93480741163</v>
      </c>
      <c r="M74" s="34"/>
      <c r="N74" s="76"/>
      <c r="O74" s="110">
        <f>L82</f>
        <v>621496.47630000312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67</v>
      </c>
      <c r="D75" s="34"/>
      <c r="E75" s="76"/>
      <c r="F75" s="111">
        <v>1275379.347613333</v>
      </c>
      <c r="G75" s="34"/>
      <c r="H75" s="76"/>
      <c r="I75" s="111">
        <f>SUM(I73:I74)</f>
        <v>1358279.0052081996</v>
      </c>
      <c r="J75" s="34"/>
      <c r="K75" s="76"/>
      <c r="L75" s="111">
        <f>SUM(L73:L74)</f>
        <v>1446567.1405467326</v>
      </c>
      <c r="M75" s="34"/>
      <c r="N75" s="76"/>
      <c r="O75" s="111">
        <f>SUM(O73:O74)</f>
        <v>1540593.5232440876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68</v>
      </c>
      <c r="C76" s="21"/>
      <c r="D76" s="81"/>
      <c r="E76" s="82"/>
      <c r="F76" s="112">
        <f>F72/F75</f>
        <v>1.240701099498954</v>
      </c>
      <c r="G76" s="81"/>
      <c r="H76" s="82"/>
      <c r="I76" s="112">
        <f>I72/I75</f>
        <v>1.0968745528438031</v>
      </c>
      <c r="J76" s="81"/>
      <c r="K76" s="82"/>
      <c r="L76" s="112">
        <f>L72/L75</f>
        <v>1.0649996671857329</v>
      </c>
      <c r="M76" s="81"/>
      <c r="N76" s="82"/>
      <c r="O76" s="112">
        <f>O72/O75</f>
        <v>1.0305529710049746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69</v>
      </c>
      <c r="D78" s="72"/>
      <c r="E78" s="73"/>
      <c r="F78" s="115">
        <f>IF(F72&lt;=F75*F71,F72,F75*F71)</f>
        <v>1358279.0052081996</v>
      </c>
      <c r="G78" s="73"/>
      <c r="H78" s="73"/>
      <c r="I78" s="115">
        <f>IF(I72&lt;=I75*I71,I72,I75*I71)</f>
        <v>1446567.1405467326</v>
      </c>
      <c r="J78" s="73"/>
      <c r="K78" s="73"/>
      <c r="L78" s="115">
        <f>IF(L72&lt;=L75*L71,L72,L75*L71)</f>
        <v>1540593.5232440876</v>
      </c>
      <c r="M78" s="73"/>
      <c r="N78" s="73"/>
      <c r="O78" s="115">
        <f>IF(O72&lt;=O75*O71,O72,O75*O71)</f>
        <v>1587663.2324902159</v>
      </c>
    </row>
    <row r="79" spans="2:52" s="14" customFormat="1" ht="20" customHeight="1" thickBot="1">
      <c r="B79" s="116" t="s">
        <v>70</v>
      </c>
      <c r="D79" s="81"/>
      <c r="E79" s="82"/>
      <c r="F79" s="117">
        <f>IF(F76&lt;=F71,0,F72-F78)</f>
        <v>224085.55365392123</v>
      </c>
      <c r="G79" s="34"/>
      <c r="H79" s="76"/>
      <c r="I79" s="117">
        <f>IF(I76&lt;=I71,0,I72-I78)</f>
        <v>43294.535928137135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157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71</v>
      </c>
      <c r="D81" s="119">
        <f>D23-F79</f>
        <v>719744.53442578437</v>
      </c>
      <c r="E81" s="120">
        <f>E23</f>
        <v>0</v>
      </c>
      <c r="F81" s="115">
        <f>D81+E81</f>
        <v>719744.53442578437</v>
      </c>
      <c r="G81" s="119">
        <f>G23-I79</f>
        <v>816868.20573932095</v>
      </c>
      <c r="H81" s="120">
        <f>H23</f>
        <v>0</v>
      </c>
      <c r="I81" s="115">
        <f>G81+H81</f>
        <v>816868.20573932095</v>
      </c>
      <c r="J81" s="119">
        <f>J23-L79</f>
        <v>919097.04694408446</v>
      </c>
      <c r="K81" s="120">
        <f>K23</f>
        <v>0</v>
      </c>
      <c r="L81" s="115">
        <f>J81+K81</f>
        <v>919097.04694408446</v>
      </c>
      <c r="M81" s="119">
        <f>M23-O79</f>
        <v>973313.97917761246</v>
      </c>
      <c r="N81" s="120">
        <f>N23</f>
        <v>0</v>
      </c>
      <c r="O81" s="115">
        <f>M81+N81</f>
        <v>973313.97917761246</v>
      </c>
    </row>
    <row r="82" spans="1:52" s="14" customFormat="1" ht="20" customHeight="1" thickBot="1">
      <c r="B82" s="118" t="s">
        <v>72</v>
      </c>
      <c r="D82" s="121">
        <f>D50-D81-F79</f>
        <v>638534.47078241524</v>
      </c>
      <c r="E82" s="122">
        <f>E50-E81</f>
        <v>0</v>
      </c>
      <c r="F82" s="123">
        <f>D82+E82</f>
        <v>638534.47078241524</v>
      </c>
      <c r="G82" s="121">
        <f>G49-G81-I79</f>
        <v>629698.93480741163</v>
      </c>
      <c r="H82" s="122">
        <f>H50-H81</f>
        <v>0</v>
      </c>
      <c r="I82" s="123">
        <f>G82+H82</f>
        <v>629698.93480741163</v>
      </c>
      <c r="J82" s="121">
        <f>J50-J81-L79</f>
        <v>621496.47630000312</v>
      </c>
      <c r="K82" s="122">
        <f>K50-K81</f>
        <v>0</v>
      </c>
      <c r="L82" s="123">
        <f>J82+K82</f>
        <v>621496.47630000312</v>
      </c>
      <c r="M82" s="121">
        <f>M49-M81-O79</f>
        <v>614349.25331260345</v>
      </c>
      <c r="N82" s="122">
        <f>N50-N81</f>
        <v>0</v>
      </c>
      <c r="O82" s="123">
        <f>M82+N82</f>
        <v>614349.25331260345</v>
      </c>
    </row>
    <row r="83" spans="1:52" s="124" customFormat="1" ht="17.25" customHeight="1" thickBot="1">
      <c r="B83" s="125" t="s">
        <v>73</v>
      </c>
      <c r="C83" s="14"/>
      <c r="D83" s="126">
        <f>SUM(D81:D82)</f>
        <v>1358279.0052081996</v>
      </c>
      <c r="E83" s="127">
        <f t="shared" ref="E83:O83" si="25">SUM(E81:E82)</f>
        <v>0</v>
      </c>
      <c r="F83" s="128">
        <f t="shared" si="25"/>
        <v>1358279.0052081996</v>
      </c>
      <c r="G83" s="126">
        <f t="shared" si="25"/>
        <v>1446567.1405467326</v>
      </c>
      <c r="H83" s="127">
        <f t="shared" si="25"/>
        <v>0</v>
      </c>
      <c r="I83" s="128">
        <f t="shared" si="25"/>
        <v>1446567.1405467326</v>
      </c>
      <c r="J83" s="126">
        <f t="shared" si="25"/>
        <v>1540593.5232440876</v>
      </c>
      <c r="K83" s="127">
        <f t="shared" si="25"/>
        <v>0</v>
      </c>
      <c r="L83" s="128">
        <f t="shared" si="25"/>
        <v>1540593.5232440876</v>
      </c>
      <c r="M83" s="126">
        <f t="shared" si="25"/>
        <v>1587663.2324902159</v>
      </c>
      <c r="N83" s="127">
        <f t="shared" si="25"/>
        <v>0</v>
      </c>
      <c r="O83" s="128">
        <f t="shared" si="25"/>
        <v>1587663.2324902159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74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75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76</v>
      </c>
      <c r="C88" s="14"/>
      <c r="D88" s="72"/>
      <c r="E88" s="73"/>
      <c r="F88" s="136">
        <f>F81-F85</f>
        <v>719744.53442578437</v>
      </c>
      <c r="G88" s="72"/>
      <c r="H88" s="73"/>
      <c r="I88" s="136">
        <f>I81-I85</f>
        <v>816868.20573932095</v>
      </c>
      <c r="J88" s="72"/>
      <c r="K88" s="73"/>
      <c r="L88" s="136">
        <f>L81-L85</f>
        <v>919097.04694408446</v>
      </c>
      <c r="M88" s="72"/>
      <c r="N88" s="73"/>
      <c r="O88" s="136">
        <f>O81-O85</f>
        <v>973313.97917761246</v>
      </c>
    </row>
    <row r="89" spans="1:52" s="103" customFormat="1" ht="19" thickBot="1">
      <c r="B89" s="137" t="s">
        <v>77</v>
      </c>
      <c r="C89" s="14"/>
      <c r="D89" s="34"/>
      <c r="E89" s="76"/>
      <c r="F89" s="138">
        <f>F82-F86</f>
        <v>638534.47078241524</v>
      </c>
      <c r="G89" s="34"/>
      <c r="H89" s="76"/>
      <c r="I89" s="138">
        <f>I82-I86</f>
        <v>629698.93480741163</v>
      </c>
      <c r="J89" s="34"/>
      <c r="K89" s="76"/>
      <c r="L89" s="138">
        <f>L82-L86</f>
        <v>621496.47630000312</v>
      </c>
      <c r="M89" s="34"/>
      <c r="N89" s="76"/>
      <c r="O89" s="138">
        <f>O82-O86</f>
        <v>614349.25331260345</v>
      </c>
    </row>
    <row r="90" spans="1:52" s="103" customFormat="1" ht="30.75" customHeight="1" thickBot="1">
      <c r="B90" s="37" t="s">
        <v>78</v>
      </c>
      <c r="C90" s="14"/>
      <c r="D90" s="81"/>
      <c r="E90" s="82"/>
      <c r="F90" s="139">
        <f>+F88+F89</f>
        <v>1358279.0052081996</v>
      </c>
      <c r="G90" s="81"/>
      <c r="H90" s="82"/>
      <c r="I90" s="139">
        <f>+I88+I89</f>
        <v>1446567.1405467326</v>
      </c>
      <c r="J90" s="81"/>
      <c r="K90" s="82"/>
      <c r="L90" s="139">
        <f>+L88+L89</f>
        <v>1540593.5232440876</v>
      </c>
      <c r="M90" s="81"/>
      <c r="N90" s="82"/>
      <c r="O90" s="139">
        <f>+O88+O89</f>
        <v>1587663.2324902159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79</v>
      </c>
      <c r="D92" s="142">
        <v>-249.14006357963444</v>
      </c>
      <c r="E92" s="143">
        <v>0</v>
      </c>
      <c r="F92" s="144">
        <f>D92+E92</f>
        <v>-249.14006357963444</v>
      </c>
      <c r="G92" s="142">
        <v>-11810.701206206315</v>
      </c>
      <c r="H92" s="143">
        <v>0</v>
      </c>
      <c r="I92" s="144">
        <f>G92+H92</f>
        <v>-11810.701206206315</v>
      </c>
      <c r="J92" s="142">
        <v>-11810.701206206315</v>
      </c>
      <c r="K92" s="143">
        <v>0</v>
      </c>
      <c r="L92" s="144">
        <f>J92+K92</f>
        <v>-11810.701206206315</v>
      </c>
      <c r="M92" s="142">
        <v>-11810.701206206315</v>
      </c>
      <c r="N92" s="143">
        <v>0</v>
      </c>
      <c r="O92" s="144">
        <f>M92+N92</f>
        <v>-11810.701206206315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>
      <c r="D96" s="166">
        <f>D6+D7+D8+D9+D11+D25+D30+D40+D42</f>
        <v>1445413.0767956751</v>
      </c>
      <c r="E96" s="166">
        <f>E6+E7+E8+E9+E11+E25+E30+E40+E42+E21+E45</f>
        <v>0</v>
      </c>
      <c r="F96" s="166">
        <f t="shared" ref="F96" si="26">F6+F7+F8+F9+F11+F25+F30+F40+F42</f>
        <v>1445413.0767956751</v>
      </c>
      <c r="G96" s="166">
        <f t="shared" ref="G96" si="27">G6+G7+G8+G9+G11+G25+G30+G40+G42+G21+G45</f>
        <v>1484417.0272777174</v>
      </c>
      <c r="H96" s="166">
        <f t="shared" ref="H96" si="28">H6+H7+H8+H9+H11+H25+H30+H40+H42</f>
        <v>0</v>
      </c>
      <c r="I96" s="166">
        <f t="shared" ref="I96" si="29">I6+I7+I8+I9+I11+I25+I30+I40+I42+I21+I45</f>
        <v>1484417.0272777174</v>
      </c>
      <c r="J96" s="166">
        <f t="shared" ref="J96" si="30">J6+J7+J8+J9+J11+J25+J30+J40+J42</f>
        <v>1476214.568770309</v>
      </c>
      <c r="K96" s="166">
        <f t="shared" ref="K96" si="31">K6+K7+K8+K9+K11+K25+K30+K40+K42+K21+K45</f>
        <v>0</v>
      </c>
      <c r="L96" s="166">
        <f t="shared" ref="L96" si="32">L6+L7+L8+L9+L11+L25+L30+L40+L42</f>
        <v>1476214.568770309</v>
      </c>
      <c r="M96" s="166">
        <f t="shared" ref="M96" si="33">M6+M7+M8+M9+M11+M25+M30+M40+M42+M21+M45</f>
        <v>1469067.3457829091</v>
      </c>
      <c r="N96" s="166">
        <f t="shared" ref="N96" si="34">N6+N7+N8+N9+N11+N25+N30+N40+N42</f>
        <v>0</v>
      </c>
      <c r="O96" s="166">
        <f t="shared" ref="O96" si="35">O6+O7+O8+O9+O11+O25+O30+O40+O42+O21+O45</f>
        <v>1469067.3457829091</v>
      </c>
    </row>
    <row r="97" spans="4:15" s="14" customFormat="1">
      <c r="D97" s="166">
        <f>D96-D15-D19</f>
        <v>1393179.5588621206</v>
      </c>
      <c r="E97" s="166">
        <f>E96-E15-E19</f>
        <v>0</v>
      </c>
      <c r="F97" s="166">
        <f t="shared" ref="F97:O97" si="36">F96-F15-F19</f>
        <v>1393179.5588621206</v>
      </c>
      <c r="G97" s="166">
        <f t="shared" si="36"/>
        <v>1432235.69068076</v>
      </c>
      <c r="H97" s="166">
        <f t="shared" si="36"/>
        <v>0</v>
      </c>
      <c r="I97" s="166">
        <f t="shared" si="36"/>
        <v>1432235.69068076</v>
      </c>
      <c r="J97" s="166">
        <f t="shared" si="36"/>
        <v>1424033.2321733516</v>
      </c>
      <c r="K97" s="166">
        <f t="shared" si="36"/>
        <v>0</v>
      </c>
      <c r="L97" s="166">
        <f t="shared" si="36"/>
        <v>1424033.2321733516</v>
      </c>
      <c r="M97" s="166">
        <f t="shared" si="36"/>
        <v>1416886.0091859517</v>
      </c>
      <c r="N97" s="166">
        <f t="shared" si="36"/>
        <v>0</v>
      </c>
      <c r="O97" s="166">
        <f t="shared" si="36"/>
        <v>1416886.0091859517</v>
      </c>
    </row>
    <row r="98" spans="4:15" s="14" customFormat="1">
      <c r="D98" s="166">
        <f>D20+D44</f>
        <v>189185</v>
      </c>
      <c r="E98" s="166">
        <f>E20+E44</f>
        <v>0</v>
      </c>
      <c r="F98" s="166">
        <f t="shared" ref="F98:O98" si="37">F20+F44</f>
        <v>189185</v>
      </c>
      <c r="G98" s="166">
        <f t="shared" si="37"/>
        <v>57625.985794109583</v>
      </c>
      <c r="H98" s="166">
        <f t="shared" si="37"/>
        <v>0</v>
      </c>
      <c r="I98" s="166">
        <f t="shared" si="37"/>
        <v>57625.985794109583</v>
      </c>
      <c r="J98" s="166">
        <f t="shared" si="37"/>
        <v>23120.514375000002</v>
      </c>
      <c r="K98" s="166">
        <f t="shared" si="37"/>
        <v>0</v>
      </c>
      <c r="L98" s="166">
        <f t="shared" si="37"/>
        <v>23120.514375000002</v>
      </c>
      <c r="M98" s="166">
        <f t="shared" si="37"/>
        <v>0</v>
      </c>
      <c r="N98" s="166">
        <f t="shared" si="37"/>
        <v>0</v>
      </c>
      <c r="O98" s="166">
        <f t="shared" si="37"/>
        <v>0</v>
      </c>
    </row>
    <row r="99" spans="4:15" s="14" customFormat="1" ht="14"/>
    <row r="100" spans="4:15" s="14" customFormat="1" ht="14"/>
    <row r="101" spans="4:15" s="14" customFormat="1" ht="14"/>
    <row r="102" spans="4:15" s="14" customFormat="1" ht="14"/>
    <row r="103" spans="4:15" s="14" customFormat="1" ht="14"/>
    <row r="104" spans="4:15" s="14" customFormat="1" ht="14"/>
    <row r="105" spans="4:15" s="14" customFormat="1" ht="14"/>
    <row r="106" spans="4:15" s="14" customFormat="1" ht="14"/>
    <row r="107" spans="4:15" s="14" customFormat="1" ht="14"/>
    <row r="108" spans="4:15" s="14" customFormat="1" ht="14"/>
    <row r="109" spans="4:15" s="14" customFormat="1" ht="14"/>
    <row r="110" spans="4:15" s="14" customFormat="1" ht="14"/>
    <row r="111" spans="4:15" s="14" customFormat="1" ht="14"/>
    <row r="112" spans="4:15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9" priority="7" operator="containsText" text="ERRORE">
      <formula>NOT(ISERROR(SEARCH("ERRORE",F81)))</formula>
    </cfRule>
  </conditionalFormatting>
  <conditionalFormatting sqref="I83">
    <cfRule type="containsText" dxfId="18" priority="6" operator="containsText" text="ERRORE">
      <formula>NOT(ISERROR(SEARCH("ERRORE",I83)))</formula>
    </cfRule>
  </conditionalFormatting>
  <conditionalFormatting sqref="I81:I82">
    <cfRule type="containsText" dxfId="17" priority="5" operator="containsText" text="ERRORE">
      <formula>NOT(ISERROR(SEARCH("ERRORE",I81)))</formula>
    </cfRule>
  </conditionalFormatting>
  <conditionalFormatting sqref="L83">
    <cfRule type="containsText" dxfId="16" priority="4" operator="containsText" text="ERRORE">
      <formula>NOT(ISERROR(SEARCH("ERRORE",L83)))</formula>
    </cfRule>
  </conditionalFormatting>
  <conditionalFormatting sqref="L81:L82">
    <cfRule type="containsText" dxfId="15" priority="3" operator="containsText" text="ERRORE">
      <formula>NOT(ISERROR(SEARCH("ERRORE",L81)))</formula>
    </cfRule>
  </conditionalFormatting>
  <conditionalFormatting sqref="O83">
    <cfRule type="containsText" dxfId="14" priority="2" operator="containsText" text="ERRORE">
      <formula>NOT(ISERROR(SEARCH("ERRORE",O83)))</formula>
    </cfRule>
  </conditionalFormatting>
  <conditionalFormatting sqref="O81:O82">
    <cfRule type="containsText" dxfId="13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workbookViewId="0">
      <selection activeCell="K34" sqref="K34"/>
    </sheetView>
  </sheetViews>
  <sheetFormatPr baseColWidth="10" defaultColWidth="9.1640625" defaultRowHeight="14" x14ac:dyDescent="0"/>
  <cols>
    <col min="1" max="1" width="12.5" style="149" bestFit="1" customWidth="1"/>
    <col min="2" max="2" width="22.1640625" style="149" customWidth="1"/>
    <col min="3" max="16384" width="9.1640625" style="149"/>
  </cols>
  <sheetData>
    <row r="2" spans="1:10">
      <c r="B2" s="151">
        <v>1</v>
      </c>
      <c r="C2" s="151">
        <v>2</v>
      </c>
      <c r="D2" s="151">
        <v>3</v>
      </c>
      <c r="E2" s="151">
        <v>4</v>
      </c>
      <c r="F2" s="151">
        <v>5</v>
      </c>
      <c r="G2" s="151">
        <v>6</v>
      </c>
      <c r="H2" s="151">
        <v>7</v>
      </c>
      <c r="I2" s="151">
        <v>8</v>
      </c>
      <c r="J2" s="151">
        <v>9</v>
      </c>
    </row>
    <row r="3" spans="1:10">
      <c r="B3" s="155"/>
      <c r="C3" s="151">
        <v>2022</v>
      </c>
      <c r="D3" s="151">
        <v>2022</v>
      </c>
      <c r="E3" s="151">
        <v>2023</v>
      </c>
      <c r="F3" s="151">
        <v>2023</v>
      </c>
      <c r="G3" s="151">
        <v>2024</v>
      </c>
      <c r="H3" s="151">
        <v>2024</v>
      </c>
      <c r="I3" s="151">
        <v>2025</v>
      </c>
      <c r="J3" s="151">
        <v>2025</v>
      </c>
    </row>
    <row r="4" spans="1:10">
      <c r="B4" s="152" t="s">
        <v>116</v>
      </c>
      <c r="C4" s="151" t="s">
        <v>80</v>
      </c>
      <c r="D4" s="151" t="s">
        <v>81</v>
      </c>
      <c r="E4" s="151" t="s">
        <v>80</v>
      </c>
      <c r="F4" s="151" t="s">
        <v>81</v>
      </c>
      <c r="G4" s="151" t="s">
        <v>80</v>
      </c>
      <c r="H4" s="151" t="s">
        <v>81</v>
      </c>
      <c r="I4" s="151" t="s">
        <v>80</v>
      </c>
      <c r="J4" s="151" t="s">
        <v>81</v>
      </c>
    </row>
    <row r="5" spans="1:10">
      <c r="A5" s="160" t="s">
        <v>117</v>
      </c>
      <c r="B5" s="153" t="s">
        <v>82</v>
      </c>
      <c r="C5" s="154">
        <v>64133.514215334799</v>
      </c>
      <c r="D5" s="154">
        <v>35650.73578750364</v>
      </c>
      <c r="E5" s="154">
        <v>56468.382529442606</v>
      </c>
      <c r="F5" s="154">
        <v>35320.855281586802</v>
      </c>
      <c r="G5" s="154">
        <v>53417.24036951123</v>
      </c>
      <c r="H5" s="154">
        <v>33718.336498490724</v>
      </c>
      <c r="I5" s="154">
        <v>50502.665101162056</v>
      </c>
      <c r="J5" s="154">
        <v>31979.81254473946</v>
      </c>
    </row>
    <row r="6" spans="1:10">
      <c r="A6" s="160" t="s">
        <v>117</v>
      </c>
      <c r="B6" s="153" t="s">
        <v>83</v>
      </c>
      <c r="C6" s="154">
        <v>92612.024590090077</v>
      </c>
      <c r="D6" s="154">
        <v>44300.512195760195</v>
      </c>
      <c r="E6" s="154">
        <v>80139.674450433202</v>
      </c>
      <c r="F6" s="154">
        <v>42658.840616056208</v>
      </c>
      <c r="G6" s="154">
        <v>74966.119822486711</v>
      </c>
      <c r="H6" s="154">
        <v>40486.44857306093</v>
      </c>
      <c r="I6" s="154">
        <v>69955.675506357933</v>
      </c>
      <c r="J6" s="154">
        <v>38158.914353629189</v>
      </c>
    </row>
    <row r="7" spans="1:10">
      <c r="A7" s="160" t="s">
        <v>117</v>
      </c>
      <c r="B7" s="153" t="s">
        <v>84</v>
      </c>
      <c r="C7" s="154">
        <v>115633.25917694085</v>
      </c>
      <c r="D7" s="154">
        <v>59069.450772259217</v>
      </c>
      <c r="E7" s="154">
        <v>96704.278930299537</v>
      </c>
      <c r="F7" s="154">
        <v>56962.650907990159</v>
      </c>
      <c r="G7" s="154">
        <v>93991.663266588424</v>
      </c>
      <c r="H7" s="154">
        <v>54422.267270897246</v>
      </c>
      <c r="I7" s="154">
        <v>89033.33381279507</v>
      </c>
      <c r="J7" s="154">
        <v>51457.142931839568</v>
      </c>
    </row>
    <row r="8" spans="1:10">
      <c r="A8" s="160" t="s">
        <v>118</v>
      </c>
      <c r="B8" s="153" t="s">
        <v>85</v>
      </c>
      <c r="C8" s="154">
        <v>213855.5134648128</v>
      </c>
      <c r="D8" s="154">
        <v>94914.831272963667</v>
      </c>
      <c r="E8" s="154">
        <v>218016.11697808694</v>
      </c>
      <c r="F8" s="154">
        <v>86247.187375690482</v>
      </c>
      <c r="G8" s="154">
        <v>184438.42482715004</v>
      </c>
      <c r="H8" s="154">
        <v>82206.68453950758</v>
      </c>
      <c r="I8" s="154">
        <v>169404.48147695523</v>
      </c>
      <c r="J8" s="154">
        <v>86520.48369810688</v>
      </c>
    </row>
    <row r="9" spans="1:10">
      <c r="A9" s="160" t="s">
        <v>118</v>
      </c>
      <c r="B9" s="153" t="s">
        <v>86</v>
      </c>
      <c r="C9" s="154">
        <v>113710.69402494724</v>
      </c>
      <c r="D9" s="154">
        <v>88600.516690505669</v>
      </c>
      <c r="E9" s="154">
        <v>113640.85491587209</v>
      </c>
      <c r="F9" s="154">
        <v>83199.094420758192</v>
      </c>
      <c r="G9" s="154">
        <v>114855.67496924695</v>
      </c>
      <c r="H9" s="154">
        <v>80710.315820215721</v>
      </c>
      <c r="I9" s="154">
        <v>104752.91472743775</v>
      </c>
      <c r="J9" s="154">
        <v>76527.468685777654</v>
      </c>
    </row>
    <row r="10" spans="1:10">
      <c r="A10" s="160" t="s">
        <v>118</v>
      </c>
      <c r="B10" s="153" t="s">
        <v>87</v>
      </c>
      <c r="C10" s="154">
        <v>31045.076223271146</v>
      </c>
      <c r="D10" s="154">
        <v>13537.346696310753</v>
      </c>
      <c r="E10" s="154">
        <v>30111.230323253323</v>
      </c>
      <c r="F10" s="154">
        <v>11995.602179785534</v>
      </c>
      <c r="G10" s="154">
        <v>23058.065133619675</v>
      </c>
      <c r="H10" s="154">
        <v>11651.26687302909</v>
      </c>
      <c r="I10" s="154">
        <v>25313.245373194379</v>
      </c>
      <c r="J10" s="154">
        <v>12387.912662887085</v>
      </c>
    </row>
    <row r="11" spans="1:10">
      <c r="A11" s="160" t="s">
        <v>118</v>
      </c>
      <c r="B11" s="153" t="s">
        <v>88</v>
      </c>
      <c r="C11" s="154">
        <v>598307.79860810656</v>
      </c>
      <c r="D11" s="154">
        <v>111786.12503974258</v>
      </c>
      <c r="E11" s="154">
        <v>579925.40525421675</v>
      </c>
      <c r="F11" s="154">
        <v>80778.353928621116</v>
      </c>
      <c r="G11" s="154">
        <v>617344.90361310053</v>
      </c>
      <c r="H11" s="154">
        <v>74604.923392569908</v>
      </c>
      <c r="I11" s="154">
        <v>611166.74323717551</v>
      </c>
      <c r="J11" s="154">
        <v>61544.273588817465</v>
      </c>
    </row>
    <row r="12" spans="1:10">
      <c r="A12" s="160" t="s">
        <v>118</v>
      </c>
      <c r="B12" s="153" t="s">
        <v>89</v>
      </c>
      <c r="C12" s="154">
        <v>83668.742503834073</v>
      </c>
      <c r="D12" s="154">
        <v>38365.296808399522</v>
      </c>
      <c r="E12" s="154">
        <v>83316.36293197432</v>
      </c>
      <c r="F12" s="154">
        <v>32379.868238695086</v>
      </c>
      <c r="G12" s="154">
        <v>84425.153791737204</v>
      </c>
      <c r="H12" s="154">
        <v>27526.848304547122</v>
      </c>
      <c r="I12" s="154">
        <v>84477.933439848552</v>
      </c>
      <c r="J12" s="154">
        <v>22274.114125239048</v>
      </c>
    </row>
    <row r="13" spans="1:10">
      <c r="A13" s="160" t="s">
        <v>117</v>
      </c>
      <c r="B13" s="153" t="s">
        <v>90</v>
      </c>
      <c r="C13" s="154">
        <v>227890.88334448222</v>
      </c>
      <c r="D13" s="154">
        <v>130590.78572964224</v>
      </c>
      <c r="E13" s="154">
        <v>203814.15237537591</v>
      </c>
      <c r="F13" s="154">
        <v>123397.08837085152</v>
      </c>
      <c r="G13" s="154">
        <v>201768.83871892927</v>
      </c>
      <c r="H13" s="154">
        <v>114999.72913719073</v>
      </c>
      <c r="I13" s="154">
        <v>193768.16633393225</v>
      </c>
      <c r="J13" s="154">
        <v>105940.48133578942</v>
      </c>
    </row>
    <row r="14" spans="1:10">
      <c r="A14" s="160" t="s">
        <v>118</v>
      </c>
      <c r="B14" s="153" t="s">
        <v>91</v>
      </c>
      <c r="C14" s="154">
        <v>142947.98864985973</v>
      </c>
      <c r="D14" s="154">
        <v>51804.560678630405</v>
      </c>
      <c r="E14" s="154">
        <v>137906.80246166594</v>
      </c>
      <c r="F14" s="154">
        <v>44420.734007430641</v>
      </c>
      <c r="G14" s="154">
        <v>101972.04887652493</v>
      </c>
      <c r="H14" s="154">
        <v>40840.628129135934</v>
      </c>
      <c r="I14" s="154">
        <v>105583.94918828845</v>
      </c>
      <c r="J14" s="154">
        <v>42294.971312386799</v>
      </c>
    </row>
    <row r="15" spans="1:10">
      <c r="A15" s="160" t="s">
        <v>117</v>
      </c>
      <c r="B15" s="153" t="s">
        <v>121</v>
      </c>
      <c r="C15" s="154">
        <v>95550.656205104402</v>
      </c>
      <c r="D15" s="154">
        <v>34981.028708755111</v>
      </c>
      <c r="E15" s="154">
        <v>73451.765056837758</v>
      </c>
      <c r="F15" s="154">
        <v>32589.567256167327</v>
      </c>
      <c r="G15" s="154">
        <v>71484.120102744186</v>
      </c>
      <c r="H15" s="154">
        <v>30456.899031715944</v>
      </c>
      <c r="I15" s="154">
        <v>62273.127287900621</v>
      </c>
      <c r="J15" s="154">
        <v>28034.864837319241</v>
      </c>
    </row>
    <row r="16" spans="1:10">
      <c r="A16" s="160" t="s">
        <v>117</v>
      </c>
      <c r="B16" s="153" t="s">
        <v>93</v>
      </c>
      <c r="C16" s="154">
        <v>97485.549325107102</v>
      </c>
      <c r="D16" s="154">
        <v>22494.519505896704</v>
      </c>
      <c r="E16" s="154">
        <v>55837.761623805076</v>
      </c>
      <c r="F16" s="154">
        <v>16594.549874059969</v>
      </c>
      <c r="G16" s="154">
        <v>42194.685694987522</v>
      </c>
      <c r="H16" s="154">
        <v>14007.445224011644</v>
      </c>
      <c r="I16" s="154">
        <v>39210.623739853792</v>
      </c>
      <c r="J16" s="154">
        <v>12719.232972380571</v>
      </c>
    </row>
    <row r="17" spans="1:10">
      <c r="A17" s="160" t="s">
        <v>117</v>
      </c>
      <c r="B17" s="153" t="s">
        <v>94</v>
      </c>
      <c r="C17" s="154">
        <v>65676.009702974887</v>
      </c>
      <c r="D17" s="154">
        <v>34397.923502377169</v>
      </c>
      <c r="E17" s="154">
        <v>53933.83883748074</v>
      </c>
      <c r="F17" s="154">
        <v>33123.862585007897</v>
      </c>
      <c r="G17" s="154">
        <v>53555.709888873804</v>
      </c>
      <c r="H17" s="154">
        <v>31743.26133497684</v>
      </c>
      <c r="I17" s="154">
        <v>50871.369829171628</v>
      </c>
      <c r="J17" s="154">
        <v>30035.407465476892</v>
      </c>
    </row>
    <row r="18" spans="1:10">
      <c r="A18" s="160" t="s">
        <v>118</v>
      </c>
      <c r="B18" s="153" t="s">
        <v>95</v>
      </c>
      <c r="C18" s="154">
        <v>520195.91182683071</v>
      </c>
      <c r="D18" s="154">
        <v>217615.82990371587</v>
      </c>
      <c r="E18" s="154">
        <v>518911.34638337372</v>
      </c>
      <c r="F18" s="154">
        <v>191870.36289249256</v>
      </c>
      <c r="G18" s="154">
        <v>608440.69309930457</v>
      </c>
      <c r="H18" s="154">
        <v>244374.05072170976</v>
      </c>
      <c r="I18" s="154">
        <v>582062.12300113204</v>
      </c>
      <c r="J18" s="154">
        <v>243088.40843495043</v>
      </c>
    </row>
    <row r="19" spans="1:10">
      <c r="A19" s="160" t="s">
        <v>117</v>
      </c>
      <c r="B19" s="153" t="s">
        <v>96</v>
      </c>
      <c r="C19" s="154">
        <v>97548.783520773446</v>
      </c>
      <c r="D19" s="154">
        <v>37911.284414436988</v>
      </c>
      <c r="E19" s="154">
        <v>83377.154169056754</v>
      </c>
      <c r="F19" s="154">
        <v>33226.854465962897</v>
      </c>
      <c r="G19" s="154">
        <v>58731.368464118212</v>
      </c>
      <c r="H19" s="154">
        <v>34529.583445737946</v>
      </c>
      <c r="I19" s="154">
        <v>64359.042108201393</v>
      </c>
      <c r="J19" s="154">
        <v>36445.261788845783</v>
      </c>
    </row>
    <row r="20" spans="1:10">
      <c r="A20" s="160" t="s">
        <v>118</v>
      </c>
      <c r="B20" s="153" t="s">
        <v>97</v>
      </c>
      <c r="C20" s="154">
        <v>149271.77996755127</v>
      </c>
      <c r="D20" s="154">
        <v>64187.4934899742</v>
      </c>
      <c r="E20" s="154">
        <v>125276.57432596301</v>
      </c>
      <c r="F20" s="154">
        <v>61224.262407626346</v>
      </c>
      <c r="G20" s="154">
        <v>131962.83927712269</v>
      </c>
      <c r="H20" s="154">
        <v>63053.78717874155</v>
      </c>
      <c r="I20" s="154">
        <v>129881.32858607982</v>
      </c>
      <c r="J20" s="154">
        <v>62973.427280296666</v>
      </c>
    </row>
    <row r="21" spans="1:10">
      <c r="A21" s="160" t="s">
        <v>117</v>
      </c>
      <c r="B21" s="153" t="s">
        <v>98</v>
      </c>
      <c r="C21" s="154">
        <v>68793.389280973788</v>
      </c>
      <c r="D21" s="154">
        <v>29349.672778966578</v>
      </c>
      <c r="E21" s="154">
        <v>65444.300793110575</v>
      </c>
      <c r="F21" s="154">
        <v>25494.505970443694</v>
      </c>
      <c r="G21" s="154">
        <v>61184.519204717413</v>
      </c>
      <c r="H21" s="154">
        <v>23827.886166204771</v>
      </c>
      <c r="I21" s="154">
        <v>64758.823302391858</v>
      </c>
      <c r="J21" s="154">
        <v>22096.743355533014</v>
      </c>
    </row>
    <row r="22" spans="1:10">
      <c r="A22" s="160" t="s">
        <v>117</v>
      </c>
      <c r="B22" s="153" t="s">
        <v>99</v>
      </c>
      <c r="C22" s="154">
        <v>521894.07220452896</v>
      </c>
      <c r="D22" s="154">
        <v>223266.1558443532</v>
      </c>
      <c r="E22" s="154">
        <v>395400.44738554582</v>
      </c>
      <c r="F22" s="154">
        <v>206153.53638260151</v>
      </c>
      <c r="G22" s="154">
        <v>385186.05000317091</v>
      </c>
      <c r="H22" s="154">
        <v>192278.76041455372</v>
      </c>
      <c r="I22" s="154">
        <v>339471.29978838062</v>
      </c>
      <c r="J22" s="154">
        <v>177130.48008245006</v>
      </c>
    </row>
    <row r="23" spans="1:10">
      <c r="A23" s="160" t="s">
        <v>117</v>
      </c>
      <c r="B23" s="153" t="s">
        <v>100</v>
      </c>
      <c r="C23" s="154">
        <v>243526.36370006969</v>
      </c>
      <c r="D23" s="154">
        <v>147916.02933346067</v>
      </c>
      <c r="E23" s="154">
        <v>207828.66002411721</v>
      </c>
      <c r="F23" s="154">
        <v>141133.96912405844</v>
      </c>
      <c r="G23" s="154">
        <v>221467.57695373931</v>
      </c>
      <c r="H23" s="154">
        <v>141028.19072958824</v>
      </c>
      <c r="I23" s="154">
        <v>221831.84976809041</v>
      </c>
      <c r="J23" s="154">
        <v>137979.78280312652</v>
      </c>
    </row>
    <row r="24" spans="1:10">
      <c r="A24" s="160" t="s">
        <v>118</v>
      </c>
      <c r="B24" s="153" t="s">
        <v>101</v>
      </c>
      <c r="C24" s="154">
        <v>426198.54701207735</v>
      </c>
      <c r="D24" s="154">
        <v>117499.8753678033</v>
      </c>
      <c r="E24" s="154">
        <v>306979.14443875075</v>
      </c>
      <c r="F24" s="154">
        <v>93218.377867092131</v>
      </c>
      <c r="G24" s="154">
        <v>285179.03843713959</v>
      </c>
      <c r="H24" s="154">
        <v>92700.03613131716</v>
      </c>
      <c r="I24" s="154">
        <v>306507.70781174116</v>
      </c>
      <c r="J24" s="154">
        <v>91960.670617527328</v>
      </c>
    </row>
    <row r="25" spans="1:10">
      <c r="A25" s="160" t="s">
        <v>118</v>
      </c>
      <c r="B25" s="153" t="s">
        <v>102</v>
      </c>
      <c r="C25" s="154">
        <v>98535.758698694117</v>
      </c>
      <c r="D25" s="154">
        <v>37950.37318881863</v>
      </c>
      <c r="E25" s="154">
        <v>93763.534042377243</v>
      </c>
      <c r="F25" s="154">
        <v>32251.258659227708</v>
      </c>
      <c r="G25" s="154">
        <v>71916.295056348637</v>
      </c>
      <c r="H25" s="154">
        <v>28498.560988753612</v>
      </c>
      <c r="I25" s="154">
        <v>70113.795103019365</v>
      </c>
      <c r="J25" s="154">
        <v>27092.995529696796</v>
      </c>
    </row>
    <row r="26" spans="1:10">
      <c r="A26" s="160" t="s">
        <v>118</v>
      </c>
      <c r="B26" s="153" t="s">
        <v>103</v>
      </c>
      <c r="C26" s="154">
        <v>133507.56657862815</v>
      </c>
      <c r="D26" s="154">
        <v>58463.910872984903</v>
      </c>
      <c r="E26" s="154">
        <v>110966.78752328076</v>
      </c>
      <c r="F26" s="154">
        <v>55464.37676217276</v>
      </c>
      <c r="G26" s="154">
        <v>118075.00099963487</v>
      </c>
      <c r="H26" s="154">
        <v>56701.990141941205</v>
      </c>
      <c r="I26" s="154">
        <v>116826.5695198894</v>
      </c>
      <c r="J26" s="154">
        <v>56219.311283160707</v>
      </c>
    </row>
    <row r="27" spans="1:10">
      <c r="A27" s="160" t="s">
        <v>118</v>
      </c>
      <c r="B27" s="153" t="s">
        <v>104</v>
      </c>
      <c r="C27" s="154">
        <v>41005.232255573486</v>
      </c>
      <c r="D27" s="154">
        <v>21209.713724040121</v>
      </c>
      <c r="E27" s="154">
        <v>40356.893852041903</v>
      </c>
      <c r="F27" s="154">
        <v>18850.923065676569</v>
      </c>
      <c r="G27" s="154">
        <v>34441.110214472828</v>
      </c>
      <c r="H27" s="154">
        <v>17730.573727808511</v>
      </c>
      <c r="I27" s="154">
        <v>36531.52289106878</v>
      </c>
      <c r="J27" s="154">
        <v>17589.307784960332</v>
      </c>
    </row>
    <row r="28" spans="1:10">
      <c r="A28" s="160" t="s">
        <v>118</v>
      </c>
      <c r="B28" s="153" t="s">
        <v>105</v>
      </c>
      <c r="C28" s="154">
        <v>98257.944925291784</v>
      </c>
      <c r="D28" s="154">
        <v>54270.714320975647</v>
      </c>
      <c r="E28" s="154">
        <v>84257.504075334626</v>
      </c>
      <c r="F28" s="154">
        <v>52764.187146122909</v>
      </c>
      <c r="G28" s="154">
        <v>91934.444927021614</v>
      </c>
      <c r="H28" s="154">
        <v>55340.788128374916</v>
      </c>
      <c r="I28" s="154">
        <v>95249.767387153261</v>
      </c>
      <c r="J28" s="154">
        <v>56725.929961880029</v>
      </c>
    </row>
    <row r="29" spans="1:10">
      <c r="A29" s="160" t="s">
        <v>117</v>
      </c>
      <c r="B29" s="153" t="s">
        <v>120</v>
      </c>
      <c r="C29" s="154">
        <v>78153.798044387033</v>
      </c>
      <c r="D29" s="154">
        <v>23828.27136024199</v>
      </c>
      <c r="E29" s="154">
        <v>65174.331211807708</v>
      </c>
      <c r="F29" s="154">
        <v>19653.557279696652</v>
      </c>
      <c r="G29" s="154">
        <v>39374.11176206504</v>
      </c>
      <c r="H29" s="154">
        <v>18819.643065322285</v>
      </c>
      <c r="I29" s="154">
        <v>41693.78124972817</v>
      </c>
      <c r="J29" s="154">
        <v>19162.167785242626</v>
      </c>
    </row>
    <row r="30" spans="1:10">
      <c r="A30" s="160" t="s">
        <v>117</v>
      </c>
      <c r="B30" s="153" t="s">
        <v>107</v>
      </c>
      <c r="C30" s="154">
        <v>115311.77564566016</v>
      </c>
      <c r="D30" s="154">
        <v>54226.306407020762</v>
      </c>
      <c r="E30" s="154">
        <v>100491.96110083834</v>
      </c>
      <c r="F30" s="154">
        <v>53565.068745656979</v>
      </c>
      <c r="G30" s="154">
        <v>98577.097631316268</v>
      </c>
      <c r="H30" s="154">
        <v>50839.389625075019</v>
      </c>
      <c r="I30" s="154">
        <v>91440.885064859991</v>
      </c>
      <c r="J30" s="154">
        <v>47644.016732634387</v>
      </c>
    </row>
    <row r="31" spans="1:10">
      <c r="A31" s="160" t="s">
        <v>117</v>
      </c>
      <c r="B31" s="153" t="s">
        <v>108</v>
      </c>
      <c r="C31" s="154">
        <v>530954.68821631791</v>
      </c>
      <c r="D31" s="154">
        <v>158818.80915976386</v>
      </c>
      <c r="E31" s="154">
        <v>498098.37375283998</v>
      </c>
      <c r="F31" s="154">
        <v>129058.85930058893</v>
      </c>
      <c r="G31" s="154">
        <v>354379.30857405375</v>
      </c>
      <c r="H31" s="154">
        <v>110093.17425071138</v>
      </c>
      <c r="I31" s="154">
        <v>353749.01784370857</v>
      </c>
      <c r="J31" s="154">
        <v>107600.51295915876</v>
      </c>
    </row>
    <row r="32" spans="1:10">
      <c r="A32" s="160" t="s">
        <v>117</v>
      </c>
      <c r="B32" s="153" t="s">
        <v>109</v>
      </c>
      <c r="C32" s="154">
        <v>106408.13903928846</v>
      </c>
      <c r="D32" s="154">
        <v>59696.043780339314</v>
      </c>
      <c r="E32" s="154">
        <v>90475.226175644697</v>
      </c>
      <c r="F32" s="154">
        <v>57722.700349034341</v>
      </c>
      <c r="G32" s="154">
        <v>96473.724881534363</v>
      </c>
      <c r="H32" s="154">
        <v>59321.515578239589</v>
      </c>
      <c r="I32" s="154">
        <v>97034.225139311719</v>
      </c>
      <c r="J32" s="154">
        <v>59416.878132440885</v>
      </c>
    </row>
    <row r="33" spans="1:10">
      <c r="A33" s="160" t="s">
        <v>118</v>
      </c>
      <c r="B33" s="153" t="s">
        <v>110</v>
      </c>
      <c r="C33" s="154">
        <v>125420.30531826665</v>
      </c>
      <c r="D33" s="154">
        <v>73002.260752309478</v>
      </c>
      <c r="E33" s="154">
        <v>104616.3251631797</v>
      </c>
      <c r="F33" s="154">
        <v>70475.448046639824</v>
      </c>
      <c r="G33" s="154">
        <v>112941.64007331192</v>
      </c>
      <c r="H33" s="154">
        <v>72778.798193552837</v>
      </c>
      <c r="I33" s="154">
        <v>113448.53512531149</v>
      </c>
      <c r="J33" s="154">
        <v>73156.751857554569</v>
      </c>
    </row>
    <row r="34" spans="1:10">
      <c r="A34" s="160" t="s">
        <v>118</v>
      </c>
      <c r="B34" s="153" t="s">
        <v>111</v>
      </c>
      <c r="C34" s="154">
        <v>180481.13596643484</v>
      </c>
      <c r="D34" s="154">
        <v>94114.763447067686</v>
      </c>
      <c r="E34" s="154">
        <v>160772.70785979251</v>
      </c>
      <c r="F34" s="154">
        <v>92639.587257247462</v>
      </c>
      <c r="G34" s="154">
        <v>173111.36552705435</v>
      </c>
      <c r="H34" s="154">
        <v>95859.022329901272</v>
      </c>
      <c r="I34" s="154">
        <v>174532.4266849072</v>
      </c>
      <c r="J34" s="154">
        <v>96210.009837214922</v>
      </c>
    </row>
    <row r="35" spans="1:10">
      <c r="A35" s="160" t="s">
        <v>117</v>
      </c>
      <c r="B35" s="153" t="s">
        <v>112</v>
      </c>
      <c r="C35" s="154">
        <v>98271.867812037992</v>
      </c>
      <c r="D35" s="154">
        <v>38653.348909619279</v>
      </c>
      <c r="E35" s="154">
        <v>75837.321243947299</v>
      </c>
      <c r="F35" s="154">
        <v>36439.895360482071</v>
      </c>
      <c r="G35" s="154">
        <v>72885.995133224977</v>
      </c>
      <c r="H35" s="154">
        <v>34082.050414015714</v>
      </c>
      <c r="I35" s="154">
        <v>63310.471373108303</v>
      </c>
      <c r="J35" s="154">
        <v>31544.500988958484</v>
      </c>
    </row>
    <row r="36" spans="1:10">
      <c r="A36" s="160" t="s">
        <v>118</v>
      </c>
      <c r="B36" s="153" t="s">
        <v>113</v>
      </c>
      <c r="C36" s="154">
        <v>29287.833341865113</v>
      </c>
      <c r="D36" s="154">
        <v>11477.097523675913</v>
      </c>
      <c r="E36" s="154">
        <v>28311.053274705588</v>
      </c>
      <c r="F36" s="154">
        <v>9940.4432043769539</v>
      </c>
      <c r="G36" s="154">
        <v>22416.262467739609</v>
      </c>
      <c r="H36" s="154">
        <v>10310.583640013449</v>
      </c>
      <c r="I36" s="154">
        <v>23742.364261328723</v>
      </c>
      <c r="J36" s="154">
        <v>10690.419867295417</v>
      </c>
    </row>
    <row r="37" spans="1:10">
      <c r="A37" s="160" t="s">
        <v>118</v>
      </c>
      <c r="B37" s="153" t="s">
        <v>114</v>
      </c>
      <c r="C37" s="154">
        <v>4048951.6022983477</v>
      </c>
      <c r="D37" s="154">
        <v>2604594.0189081589</v>
      </c>
      <c r="E37" s="154">
        <v>3748260.8808395509</v>
      </c>
      <c r="F37" s="154">
        <v>2449231.2792901313</v>
      </c>
      <c r="G37" s="154">
        <v>4156164.027086515</v>
      </c>
      <c r="H37" s="154">
        <v>2580655.2823598213</v>
      </c>
      <c r="I37" s="154">
        <v>4292679.991432705</v>
      </c>
      <c r="J37" s="154">
        <v>2666129.1997580826</v>
      </c>
    </row>
    <row r="38" spans="1:10">
      <c r="A38" s="160" t="s">
        <v>117</v>
      </c>
      <c r="B38" s="153" t="s">
        <v>115</v>
      </c>
      <c r="C38" s="154">
        <v>95508.795035355724</v>
      </c>
      <c r="D38" s="154">
        <v>55894.919970793264</v>
      </c>
      <c r="E38" s="154">
        <v>83255.08103543584</v>
      </c>
      <c r="F38" s="154">
        <v>54111.685815599376</v>
      </c>
      <c r="G38" s="154">
        <v>77363.078930150165</v>
      </c>
      <c r="H38" s="154">
        <v>51801.229413476642</v>
      </c>
      <c r="I38" s="154">
        <v>72649.663308976102</v>
      </c>
      <c r="J38" s="154">
        <v>49367.422047250933</v>
      </c>
    </row>
    <row r="39" spans="1:10">
      <c r="C39" s="150"/>
      <c r="D39" s="150"/>
      <c r="E39" s="150"/>
      <c r="F39" s="150"/>
      <c r="G39" s="150"/>
      <c r="H39" s="150"/>
      <c r="I39" s="150"/>
      <c r="J39" s="150"/>
    </row>
  </sheetData>
  <conditionalFormatting sqref="B4 B5:C38">
    <cfRule type="expression" dxfId="12" priority="13">
      <formula>$C4=0</formula>
    </cfRule>
  </conditionalFormatting>
  <conditionalFormatting sqref="C3">
    <cfRule type="expression" dxfId="11" priority="12">
      <formula>$C4=0</formula>
    </cfRule>
  </conditionalFormatting>
  <conditionalFormatting sqref="E3">
    <cfRule type="expression" dxfId="10" priority="11">
      <formula>$C4=0</formula>
    </cfRule>
  </conditionalFormatting>
  <conditionalFormatting sqref="G3">
    <cfRule type="expression" dxfId="9" priority="10">
      <formula>$C4=0</formula>
    </cfRule>
  </conditionalFormatting>
  <conditionalFormatting sqref="I3">
    <cfRule type="expression" dxfId="8" priority="9">
      <formula>$C4=0</formula>
    </cfRule>
  </conditionalFormatting>
  <conditionalFormatting sqref="D5:D38">
    <cfRule type="expression" dxfId="7" priority="8">
      <formula>$C5=0</formula>
    </cfRule>
  </conditionalFormatting>
  <conditionalFormatting sqref="E5:E38">
    <cfRule type="expression" dxfId="6" priority="7">
      <formula>$C5=0</formula>
    </cfRule>
  </conditionalFormatting>
  <conditionalFormatting sqref="F5:F38">
    <cfRule type="expression" dxfId="5" priority="6">
      <formula>$C5=0</formula>
    </cfRule>
  </conditionalFormatting>
  <conditionalFormatting sqref="G5:G38">
    <cfRule type="expression" dxfId="4" priority="5">
      <formula>$C5=0</formula>
    </cfRule>
  </conditionalFormatting>
  <conditionalFormatting sqref="H5:H38">
    <cfRule type="expression" dxfId="3" priority="4">
      <formula>$C5=0</formula>
    </cfRule>
  </conditionalFormatting>
  <conditionalFormatting sqref="I5:I38">
    <cfRule type="expression" dxfId="2" priority="3">
      <formula>$C5=0</formula>
    </cfRule>
  </conditionalFormatting>
  <conditionalFormatting sqref="J5:J38">
    <cfRule type="expression" dxfId="1" priority="2">
      <formula>$C5=0</formula>
    </cfRule>
  </conditionalFormatting>
  <conditionalFormatting sqref="B2:J2">
    <cfRule type="expression" dxfId="0" priority="1">
      <formula>$C3=0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showGridLines="0" workbookViewId="0">
      <selection activeCell="B16" sqref="B16"/>
    </sheetView>
  </sheetViews>
  <sheetFormatPr baseColWidth="10" defaultColWidth="9.1640625" defaultRowHeight="14" x14ac:dyDescent="0"/>
  <cols>
    <col min="1" max="1" width="9.1640625" style="149"/>
    <col min="2" max="2" width="22.1640625" style="149" customWidth="1"/>
    <col min="3" max="16384" width="9.1640625" style="149"/>
  </cols>
  <sheetData>
    <row r="2" spans="2:3">
      <c r="B2" s="151">
        <v>1</v>
      </c>
      <c r="C2" s="151">
        <v>2</v>
      </c>
    </row>
    <row r="3" spans="2:3">
      <c r="B3" s="155"/>
      <c r="C3" s="151">
        <v>2022</v>
      </c>
    </row>
    <row r="4" spans="2:3">
      <c r="B4" s="152" t="s">
        <v>116</v>
      </c>
      <c r="C4" s="151" t="s">
        <v>80</v>
      </c>
    </row>
    <row r="5" spans="2:3">
      <c r="B5" s="153" t="s">
        <v>82</v>
      </c>
      <c r="C5" s="154">
        <v>1308.4344262426837</v>
      </c>
    </row>
    <row r="6" spans="2:3">
      <c r="B6" s="153" t="s">
        <v>83</v>
      </c>
      <c r="C6" s="154">
        <v>1428.0401981382663</v>
      </c>
    </row>
    <row r="7" spans="2:3">
      <c r="B7" s="153" t="s">
        <v>84</v>
      </c>
      <c r="C7" s="154">
        <v>1793.9077876837187</v>
      </c>
    </row>
    <row r="8" spans="2:3">
      <c r="B8" s="153" t="s">
        <v>85</v>
      </c>
      <c r="C8" s="154">
        <v>0</v>
      </c>
    </row>
    <row r="9" spans="2:3">
      <c r="B9" s="153" t="s">
        <v>86</v>
      </c>
      <c r="C9" s="154">
        <v>0</v>
      </c>
    </row>
    <row r="10" spans="2:3">
      <c r="B10" s="153" t="s">
        <v>87</v>
      </c>
      <c r="C10" s="154">
        <v>0</v>
      </c>
    </row>
    <row r="11" spans="2:3">
      <c r="B11" s="153" t="s">
        <v>88</v>
      </c>
      <c r="C11" s="154">
        <v>183080.55961892253</v>
      </c>
    </row>
    <row r="12" spans="2:3">
      <c r="B12" s="153" t="s">
        <v>89</v>
      </c>
      <c r="C12" s="154">
        <v>0</v>
      </c>
    </row>
    <row r="13" spans="2:3">
      <c r="B13" s="153" t="s">
        <v>90</v>
      </c>
      <c r="C13" s="154">
        <v>2288.5357908148853</v>
      </c>
    </row>
    <row r="14" spans="2:3">
      <c r="B14" s="153" t="s">
        <v>91</v>
      </c>
      <c r="C14" s="154">
        <v>0</v>
      </c>
    </row>
    <row r="15" spans="2:3">
      <c r="B15" s="153" t="s">
        <v>121</v>
      </c>
      <c r="C15" s="154">
        <v>1241.2669697915674</v>
      </c>
    </row>
    <row r="16" spans="2:3">
      <c r="B16" s="153" t="s">
        <v>93</v>
      </c>
      <c r="C16" s="154">
        <v>0</v>
      </c>
    </row>
    <row r="17" spans="2:3">
      <c r="B17" s="153" t="s">
        <v>94</v>
      </c>
      <c r="C17" s="154">
        <v>1361.3451567980935</v>
      </c>
    </row>
    <row r="18" spans="2:3">
      <c r="B18" s="153" t="s">
        <v>95</v>
      </c>
      <c r="C18" s="154">
        <v>0</v>
      </c>
    </row>
    <row r="19" spans="2:3">
      <c r="B19" s="153" t="s">
        <v>96</v>
      </c>
      <c r="C19" s="154">
        <v>0</v>
      </c>
    </row>
    <row r="20" spans="2:3">
      <c r="B20" s="153" t="s">
        <v>97</v>
      </c>
      <c r="C20" s="154">
        <v>2962.4684692897031</v>
      </c>
    </row>
    <row r="21" spans="2:3">
      <c r="B21" s="153" t="s">
        <v>98</v>
      </c>
      <c r="C21" s="154">
        <v>0</v>
      </c>
    </row>
    <row r="22" spans="2:3">
      <c r="B22" s="153" t="s">
        <v>99</v>
      </c>
      <c r="C22" s="154">
        <v>5941.5806702333239</v>
      </c>
    </row>
    <row r="23" spans="2:3">
      <c r="B23" s="153" t="s">
        <v>100</v>
      </c>
      <c r="C23" s="154">
        <v>4608.4204876248168</v>
      </c>
    </row>
    <row r="24" spans="2:3">
      <c r="B24" s="153" t="s">
        <v>101</v>
      </c>
      <c r="C24" s="154">
        <v>0</v>
      </c>
    </row>
    <row r="25" spans="2:3">
      <c r="B25" s="153" t="s">
        <v>102</v>
      </c>
      <c r="C25" s="154">
        <v>0</v>
      </c>
    </row>
    <row r="26" spans="2:3">
      <c r="B26" s="153" t="s">
        <v>103</v>
      </c>
      <c r="C26" s="154">
        <v>2810.4631158566131</v>
      </c>
    </row>
    <row r="27" spans="2:3">
      <c r="B27" s="153" t="s">
        <v>104</v>
      </c>
      <c r="C27" s="154">
        <v>0</v>
      </c>
    </row>
    <row r="28" spans="2:3">
      <c r="B28" s="153" t="s">
        <v>105</v>
      </c>
      <c r="C28" s="154">
        <v>2119.0579823043049</v>
      </c>
    </row>
    <row r="29" spans="2:3">
      <c r="B29" s="153" t="s">
        <v>120</v>
      </c>
      <c r="C29" s="154">
        <v>0</v>
      </c>
    </row>
    <row r="30" spans="2:3">
      <c r="B30" s="153" t="s">
        <v>107</v>
      </c>
      <c r="C30" s="154">
        <v>1526.1798423337891</v>
      </c>
    </row>
    <row r="31" spans="2:3">
      <c r="B31" s="153" t="s">
        <v>108</v>
      </c>
      <c r="C31" s="154">
        <v>0</v>
      </c>
    </row>
    <row r="32" spans="2:3">
      <c r="B32" s="153" t="s">
        <v>109</v>
      </c>
      <c r="C32" s="154">
        <v>1947.7663945214567</v>
      </c>
    </row>
    <row r="33" spans="2:3">
      <c r="B33" s="153" t="s">
        <v>110</v>
      </c>
      <c r="C33" s="154">
        <v>2759.9839357504297</v>
      </c>
    </row>
    <row r="34" spans="2:3">
      <c r="B34" s="153" t="s">
        <v>111</v>
      </c>
      <c r="C34" s="154">
        <v>4098.2747243220356</v>
      </c>
    </row>
    <row r="35" spans="2:3">
      <c r="B35" s="153" t="s">
        <v>112</v>
      </c>
      <c r="C35" s="154">
        <v>1151.3517490814168</v>
      </c>
    </row>
    <row r="36" spans="2:3">
      <c r="B36" s="153" t="s">
        <v>113</v>
      </c>
      <c r="C36" s="154">
        <v>0</v>
      </c>
    </row>
    <row r="37" spans="2:3">
      <c r="B37" s="153" t="s">
        <v>114</v>
      </c>
      <c r="C37" s="154">
        <v>0</v>
      </c>
    </row>
    <row r="38" spans="2:3">
      <c r="B38" s="153" t="s">
        <v>115</v>
      </c>
      <c r="C38" s="154">
        <v>1606.2717941115579</v>
      </c>
    </row>
    <row r="39" spans="2:3">
      <c r="C39" s="15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37</vt:i4>
      </vt:variant>
    </vt:vector>
  </HeadingPairs>
  <TitlesOfParts>
    <vt:vector size="37" baseType="lpstr">
      <vt:lpstr>Foglio1</vt:lpstr>
      <vt:lpstr>PEF_Campagna Lupia</vt:lpstr>
      <vt:lpstr>PEF_Campolongo Maggiore</vt:lpstr>
      <vt:lpstr>PEF_Camponogara</vt:lpstr>
      <vt:lpstr>PEF_Cavallino-treporti</vt:lpstr>
      <vt:lpstr>PEF_Cavarzere</vt:lpstr>
      <vt:lpstr>PEF_Ceggia</vt:lpstr>
      <vt:lpstr>PEF_Chioggia</vt:lpstr>
      <vt:lpstr>PEF_Cona</vt:lpstr>
      <vt:lpstr>PEF_Dolo</vt:lpstr>
      <vt:lpstr>PEF_Eraclea</vt:lpstr>
      <vt:lpstr>PEF_Fiesso d'Artico</vt:lpstr>
      <vt:lpstr>PEF_Fossalta di Piave</vt:lpstr>
      <vt:lpstr>PEF_Fossò</vt:lpstr>
      <vt:lpstr>PEF_Jesolo</vt:lpstr>
      <vt:lpstr>PEF_Marcon</vt:lpstr>
      <vt:lpstr>PEF_Martellago</vt:lpstr>
      <vt:lpstr>PEF_Meolo</vt:lpstr>
      <vt:lpstr>PEF_Mira</vt:lpstr>
      <vt:lpstr>PEF_Mirano</vt:lpstr>
      <vt:lpstr>PEF_Mogliano Veneto</vt:lpstr>
      <vt:lpstr>PEF_Musile di Piave</vt:lpstr>
      <vt:lpstr>PEF_Noale</vt:lpstr>
      <vt:lpstr>PEF_Noventa di Piave</vt:lpstr>
      <vt:lpstr>PEF_Pianiga</vt:lpstr>
      <vt:lpstr>PEF_Quarto d'Altino</vt:lpstr>
      <vt:lpstr>PEF_Salzano</vt:lpstr>
      <vt:lpstr>PEF_San Donà di Piave</vt:lpstr>
      <vt:lpstr>PEF_Santa Maria di Sala</vt:lpstr>
      <vt:lpstr>PEF_Scorzè</vt:lpstr>
      <vt:lpstr>PEF_Spinea</vt:lpstr>
      <vt:lpstr>PEF_Stra</vt:lpstr>
      <vt:lpstr>PEF_Torre di Mosto</vt:lpstr>
      <vt:lpstr>PEF_Venezia</vt:lpstr>
      <vt:lpstr>PEF_Vigonovo</vt:lpstr>
      <vt:lpstr>REM_ToolEnrico</vt:lpstr>
      <vt:lpstr>REM_ToolEnrico_detterreni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Passerini</dc:creator>
  <cp:lastModifiedBy>Massimiliano</cp:lastModifiedBy>
  <dcterms:created xsi:type="dcterms:W3CDTF">2022-04-12T07:00:24Z</dcterms:created>
  <dcterms:modified xsi:type="dcterms:W3CDTF">2022-10-04T17:51:20Z</dcterms:modified>
</cp:coreProperties>
</file>