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rgani Istituzionali CdB\Assemblea di Bacino\2020\2020_12_11\delibera ARERA per Caorle\"/>
    </mc:Choice>
  </mc:AlternateContent>
  <xr:revisionPtr revIDLastSave="0" documentId="13_ncr:1_{4DFA03AA-DF68-4C19-89E1-1F3746CC8C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f 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2" l="1"/>
  <c r="P59" i="2"/>
  <c r="S59" i="2"/>
  <c r="V59" i="2"/>
  <c r="Y59" i="2"/>
  <c r="D59" i="2"/>
  <c r="C59" i="2"/>
  <c r="E59" i="2" s="1"/>
  <c r="G59" i="2"/>
  <c r="F59" i="2"/>
  <c r="H59" i="2" s="1"/>
  <c r="J59" i="2"/>
  <c r="I59" i="2"/>
  <c r="K59" i="2" s="1"/>
  <c r="O59" i="2"/>
  <c r="R59" i="2"/>
  <c r="U59" i="2"/>
  <c r="W59" i="2" s="1"/>
  <c r="X59" i="2"/>
  <c r="Q59" i="2" l="1"/>
  <c r="Z59" i="2"/>
  <c r="T59" i="2"/>
  <c r="G25" i="2" l="1"/>
  <c r="D64" i="2" l="1"/>
  <c r="C64" i="2"/>
  <c r="AH64" i="2" l="1"/>
  <c r="AG64" i="2"/>
  <c r="AE64" i="2"/>
  <c r="AD64" i="2"/>
  <c r="AB64" i="2"/>
  <c r="AA64" i="2"/>
  <c r="Y64" i="2"/>
  <c r="X64" i="2"/>
  <c r="V64" i="2"/>
  <c r="U64" i="2"/>
  <c r="S64" i="2"/>
  <c r="R64" i="2"/>
  <c r="P64" i="2"/>
  <c r="O64" i="2"/>
  <c r="N64" i="2"/>
  <c r="M64" i="2"/>
  <c r="L64" i="2"/>
  <c r="J64" i="2" l="1"/>
  <c r="I64" i="2"/>
  <c r="F64" i="2" l="1"/>
  <c r="G64" i="2"/>
  <c r="AI64" i="2" l="1"/>
  <c r="AF64" i="2"/>
  <c r="AC64" i="2"/>
  <c r="Z64" i="2"/>
  <c r="W64" i="2"/>
  <c r="T64" i="2"/>
  <c r="Q64" i="2"/>
  <c r="K64" i="2" l="1"/>
  <c r="H64" i="2"/>
  <c r="H85" i="2" l="1"/>
  <c r="H84" i="2"/>
  <c r="E64" i="2"/>
  <c r="D69" i="2" l="1"/>
  <c r="D70" i="2"/>
  <c r="D71" i="2"/>
  <c r="AH110" i="2" l="1"/>
  <c r="AG110" i="2"/>
  <c r="AE110" i="2"/>
  <c r="AD110" i="2"/>
  <c r="AB110" i="2"/>
  <c r="AA110" i="2"/>
  <c r="AC110" i="2" s="1"/>
  <c r="Y110" i="2"/>
  <c r="X110" i="2"/>
  <c r="Z110" i="2" s="1"/>
  <c r="V110" i="2"/>
  <c r="U110" i="2"/>
  <c r="W110" i="2" s="1"/>
  <c r="S110" i="2"/>
  <c r="R110" i="2"/>
  <c r="P110" i="2"/>
  <c r="O110" i="2"/>
  <c r="M110" i="2"/>
  <c r="L110" i="2"/>
  <c r="J110" i="2"/>
  <c r="I110" i="2"/>
  <c r="F110" i="2"/>
  <c r="D110" i="2"/>
  <c r="C110" i="2"/>
  <c r="E110" i="2" s="1"/>
  <c r="Q110" i="2" l="1"/>
  <c r="AJ110" i="2"/>
  <c r="T110" i="2"/>
  <c r="AI110" i="2"/>
  <c r="N110" i="2"/>
  <c r="AF110" i="2"/>
  <c r="K110" i="2"/>
  <c r="G57" i="2" l="1"/>
  <c r="G110" i="2" s="1"/>
  <c r="H110" i="2" l="1"/>
  <c r="AK110" i="2"/>
  <c r="AL110" i="2" s="1"/>
  <c r="H57" i="2"/>
  <c r="AH104" i="2" l="1"/>
  <c r="AG104" i="2"/>
  <c r="AH103" i="2"/>
  <c r="AG103" i="2"/>
  <c r="AE104" i="2"/>
  <c r="AD104" i="2"/>
  <c r="AE103" i="2"/>
  <c r="AD103" i="2"/>
  <c r="AB104" i="2"/>
  <c r="AA104" i="2"/>
  <c r="AB103" i="2"/>
  <c r="AA103" i="2"/>
  <c r="Y104" i="2"/>
  <c r="X104" i="2"/>
  <c r="Y103" i="2"/>
  <c r="X103" i="2"/>
  <c r="V104" i="2"/>
  <c r="U104" i="2"/>
  <c r="V103" i="2"/>
  <c r="U103" i="2"/>
  <c r="S104" i="2"/>
  <c r="R104" i="2"/>
  <c r="S103" i="2"/>
  <c r="R103" i="2"/>
  <c r="P104" i="2"/>
  <c r="O104" i="2"/>
  <c r="P103" i="2"/>
  <c r="O103" i="2"/>
  <c r="M104" i="2"/>
  <c r="L104" i="2"/>
  <c r="M103" i="2"/>
  <c r="L103" i="2"/>
  <c r="J104" i="2"/>
  <c r="I104" i="2"/>
  <c r="J103" i="2"/>
  <c r="I103" i="2"/>
  <c r="F104" i="2"/>
  <c r="F103" i="2"/>
  <c r="D104" i="2"/>
  <c r="C104" i="2"/>
  <c r="D103" i="2"/>
  <c r="C103" i="2"/>
  <c r="E104" i="2" l="1"/>
  <c r="E103" i="2"/>
  <c r="K104" i="2"/>
  <c r="N104" i="2"/>
  <c r="T104" i="2"/>
  <c r="W104" i="2"/>
  <c r="Z104" i="2"/>
  <c r="AF104" i="2"/>
  <c r="AI104" i="2"/>
  <c r="N103" i="2"/>
  <c r="Q103" i="2"/>
  <c r="T103" i="2"/>
  <c r="Z103" i="2"/>
  <c r="AC103" i="2"/>
  <c r="AF103" i="2"/>
  <c r="K103" i="2"/>
  <c r="Q104" i="2"/>
  <c r="W103" i="2"/>
  <c r="AC104" i="2"/>
  <c r="AI103" i="2"/>
  <c r="AI85" i="2" l="1"/>
  <c r="AI84" i="2"/>
  <c r="AF85" i="2"/>
  <c r="AF84" i="2"/>
  <c r="AC85" i="2"/>
  <c r="AC84" i="2"/>
  <c r="Z85" i="2"/>
  <c r="Z84" i="2"/>
  <c r="W85" i="2"/>
  <c r="W84" i="2"/>
  <c r="T85" i="2"/>
  <c r="T84" i="2"/>
  <c r="Q85" i="2"/>
  <c r="Q84" i="2"/>
  <c r="N85" i="2"/>
  <c r="N84" i="2"/>
  <c r="K85" i="2"/>
  <c r="K84" i="2"/>
  <c r="E85" i="2"/>
  <c r="E84" i="2"/>
  <c r="N57" i="2" l="1"/>
  <c r="AC57" i="2"/>
  <c r="U35" i="2"/>
  <c r="AJ86" i="2" l="1"/>
  <c r="AK50" i="2"/>
  <c r="AK51" i="2"/>
  <c r="AK53" i="2"/>
  <c r="AL53" i="2"/>
  <c r="AK45" i="2"/>
  <c r="AL45" i="2"/>
  <c r="AK42" i="2"/>
  <c r="AK43" i="2"/>
  <c r="AK29" i="2"/>
  <c r="AK31" i="2"/>
  <c r="AK32" i="2"/>
  <c r="AK33" i="2"/>
  <c r="AK34" i="2"/>
  <c r="AK35" i="2"/>
  <c r="AK36" i="2"/>
  <c r="AK38" i="2"/>
  <c r="AK39" i="2"/>
  <c r="AK23" i="2"/>
  <c r="AK25" i="2"/>
  <c r="AK26" i="2"/>
  <c r="AK16" i="2"/>
  <c r="AK13" i="2"/>
  <c r="AK5" i="2"/>
  <c r="AK6" i="2"/>
  <c r="AK7" i="2"/>
  <c r="AK8" i="2"/>
  <c r="AK9" i="2"/>
  <c r="AK10" i="2"/>
  <c r="AJ57" i="2"/>
  <c r="AJ53" i="2"/>
  <c r="AJ51" i="2"/>
  <c r="AJ50" i="2"/>
  <c r="AJ47" i="2"/>
  <c r="AJ45" i="2"/>
  <c r="AJ43" i="2"/>
  <c r="AJ31" i="2"/>
  <c r="AJ32" i="2"/>
  <c r="AJ33" i="2"/>
  <c r="AJ34" i="2"/>
  <c r="AJ36" i="2"/>
  <c r="AJ38" i="2"/>
  <c r="AJ39" i="2"/>
  <c r="AJ29" i="2"/>
  <c r="AJ24" i="2"/>
  <c r="AJ25" i="2"/>
  <c r="AJ26" i="2"/>
  <c r="AJ27" i="2"/>
  <c r="AJ23" i="2"/>
  <c r="AJ20" i="2"/>
  <c r="AJ16" i="2"/>
  <c r="AJ13" i="2"/>
  <c r="AJ6" i="2"/>
  <c r="AJ7" i="2"/>
  <c r="AJ8" i="2"/>
  <c r="AJ9" i="2"/>
  <c r="AJ10" i="2"/>
  <c r="AJ5" i="2"/>
  <c r="H96" i="2" l="1"/>
  <c r="G86" i="2"/>
  <c r="H86" i="2" s="1"/>
  <c r="H81" i="2"/>
  <c r="H82" i="2" s="1"/>
  <c r="G72" i="2"/>
  <c r="G73" i="2" s="1"/>
  <c r="F72" i="2"/>
  <c r="F73" i="2" s="1"/>
  <c r="G47" i="2"/>
  <c r="H47" i="2" s="1"/>
  <c r="H43" i="2"/>
  <c r="F42" i="2"/>
  <c r="H42" i="2" s="1"/>
  <c r="H39" i="2"/>
  <c r="H38" i="2"/>
  <c r="H36" i="2"/>
  <c r="H35" i="2"/>
  <c r="H34" i="2"/>
  <c r="H33" i="2"/>
  <c r="H32" i="2"/>
  <c r="H31" i="2"/>
  <c r="G30" i="2"/>
  <c r="G37" i="2" s="1"/>
  <c r="F30" i="2"/>
  <c r="F37" i="2" s="1"/>
  <c r="H29" i="2"/>
  <c r="G28" i="2"/>
  <c r="F28" i="2"/>
  <c r="H27" i="2"/>
  <c r="H26" i="2"/>
  <c r="H25" i="2"/>
  <c r="H24" i="2"/>
  <c r="H23" i="2"/>
  <c r="H20" i="2"/>
  <c r="F19" i="2"/>
  <c r="H19" i="2" s="1"/>
  <c r="H16" i="2"/>
  <c r="G15" i="2"/>
  <c r="F15" i="2"/>
  <c r="H13" i="2"/>
  <c r="G12" i="2"/>
  <c r="F12" i="2"/>
  <c r="H10" i="2"/>
  <c r="H9" i="2"/>
  <c r="H8" i="2"/>
  <c r="H7" i="2"/>
  <c r="H6" i="2"/>
  <c r="H5" i="2"/>
  <c r="F21" i="2" l="1"/>
  <c r="F52" i="2" s="1"/>
  <c r="F105" i="2" s="1"/>
  <c r="G44" i="2"/>
  <c r="G54" i="2" s="1"/>
  <c r="H15" i="2"/>
  <c r="G21" i="2"/>
  <c r="H37" i="2"/>
  <c r="H12" i="2"/>
  <c r="F44" i="2"/>
  <c r="H28" i="2"/>
  <c r="H30" i="2"/>
  <c r="G112" i="2" l="1"/>
  <c r="G106" i="2"/>
  <c r="F111" i="2"/>
  <c r="G104" i="2"/>
  <c r="H104" i="2" s="1"/>
  <c r="G52" i="2"/>
  <c r="G105" i="2" s="1"/>
  <c r="H105" i="2" s="1"/>
  <c r="G103" i="2"/>
  <c r="H103" i="2" s="1"/>
  <c r="G46" i="2"/>
  <c r="H21" i="2"/>
  <c r="F54" i="2"/>
  <c r="H44" i="2"/>
  <c r="F46" i="2"/>
  <c r="F106" i="2" l="1"/>
  <c r="H106" i="2" s="1"/>
  <c r="H107" i="2" s="1"/>
  <c r="H54" i="2"/>
  <c r="H112" i="2" s="1"/>
  <c r="H114" i="2" s="1"/>
  <c r="G55" i="2"/>
  <c r="G83" i="2" s="1"/>
  <c r="G87" i="2" s="1"/>
  <c r="G98" i="2" s="1"/>
  <c r="F112" i="2"/>
  <c r="G111" i="2"/>
  <c r="H52" i="2"/>
  <c r="H46" i="2"/>
  <c r="F55" i="2"/>
  <c r="H100" i="2" l="1"/>
  <c r="H111" i="2"/>
  <c r="H113" i="2" s="1"/>
  <c r="H115" i="2" s="1"/>
  <c r="H116" i="2" s="1"/>
  <c r="H55" i="2"/>
  <c r="F83" i="2"/>
  <c r="F87" i="2" l="1"/>
  <c r="F98" i="2" s="1"/>
  <c r="H83" i="2"/>
  <c r="H87" i="2" s="1"/>
  <c r="H98" i="2" s="1"/>
  <c r="H89" i="2"/>
  <c r="H90" i="2" s="1"/>
  <c r="N96" i="2" l="1"/>
  <c r="M86" i="2"/>
  <c r="N86" i="2" s="1"/>
  <c r="N81" i="2"/>
  <c r="N82" i="2" s="1"/>
  <c r="M72" i="2"/>
  <c r="M73" i="2" s="1"/>
  <c r="L72" i="2"/>
  <c r="L73" i="2" s="1"/>
  <c r="M47" i="2"/>
  <c r="N47" i="2" s="1"/>
  <c r="N43" i="2"/>
  <c r="L42" i="2"/>
  <c r="N42" i="2" s="1"/>
  <c r="N39" i="2"/>
  <c r="N38" i="2"/>
  <c r="N36" i="2"/>
  <c r="N35" i="2"/>
  <c r="N34" i="2"/>
  <c r="N33" i="2"/>
  <c r="N32" i="2"/>
  <c r="N31" i="2"/>
  <c r="M30" i="2"/>
  <c r="M37" i="2" s="1"/>
  <c r="L30" i="2"/>
  <c r="L37" i="2" s="1"/>
  <c r="N29" i="2"/>
  <c r="L28" i="2"/>
  <c r="M27" i="2"/>
  <c r="N26" i="2"/>
  <c r="N25" i="2"/>
  <c r="N24" i="2"/>
  <c r="N23" i="2"/>
  <c r="N20" i="2"/>
  <c r="L19" i="2"/>
  <c r="N19" i="2" s="1"/>
  <c r="N16" i="2"/>
  <c r="M15" i="2"/>
  <c r="L15" i="2"/>
  <c r="N13" i="2"/>
  <c r="M12" i="2"/>
  <c r="L12" i="2"/>
  <c r="N10" i="2"/>
  <c r="N9" i="2"/>
  <c r="N8" i="2"/>
  <c r="N7" i="2"/>
  <c r="N6" i="2"/>
  <c r="N5" i="2"/>
  <c r="L44" i="2" l="1"/>
  <c r="L54" i="2" s="1"/>
  <c r="N27" i="2"/>
  <c r="M21" i="2"/>
  <c r="M52" i="2" s="1"/>
  <c r="M28" i="2"/>
  <c r="L21" i="2"/>
  <c r="L46" i="2" s="1"/>
  <c r="N15" i="2"/>
  <c r="N12" i="2"/>
  <c r="N30" i="2"/>
  <c r="N37" i="2"/>
  <c r="AI96" i="2"/>
  <c r="AH86" i="2"/>
  <c r="AI86" i="2" s="1"/>
  <c r="AI81" i="2"/>
  <c r="AI82" i="2" s="1"/>
  <c r="AH72" i="2"/>
  <c r="AH73" i="2" s="1"/>
  <c r="AG72" i="2"/>
  <c r="AG73" i="2" s="1"/>
  <c r="AI47" i="2"/>
  <c r="AI43" i="2"/>
  <c r="AG42" i="2"/>
  <c r="AI42" i="2" s="1"/>
  <c r="AI39" i="2"/>
  <c r="AI38" i="2"/>
  <c r="AI36" i="2"/>
  <c r="AI35" i="2"/>
  <c r="AI34" i="2"/>
  <c r="AI33" i="2"/>
  <c r="AI32" i="2"/>
  <c r="AI31" i="2"/>
  <c r="AH30" i="2"/>
  <c r="AG30" i="2"/>
  <c r="AI29" i="2"/>
  <c r="AH28" i="2"/>
  <c r="AG28" i="2"/>
  <c r="AI27" i="2"/>
  <c r="AI26" i="2"/>
  <c r="AI25" i="2"/>
  <c r="AI24" i="2"/>
  <c r="AI23" i="2"/>
  <c r="AI20" i="2"/>
  <c r="AG19" i="2"/>
  <c r="AI16" i="2"/>
  <c r="AH15" i="2"/>
  <c r="AG15" i="2"/>
  <c r="AI13" i="2"/>
  <c r="AH12" i="2"/>
  <c r="AG12" i="2"/>
  <c r="AI10" i="2"/>
  <c r="AI9" i="2"/>
  <c r="AI8" i="2"/>
  <c r="AI7" i="2"/>
  <c r="AI6" i="2"/>
  <c r="AI5" i="2"/>
  <c r="M111" i="2" l="1"/>
  <c r="M105" i="2"/>
  <c r="L106" i="2"/>
  <c r="L112" i="2"/>
  <c r="L52" i="2"/>
  <c r="N21" i="2"/>
  <c r="AG21" i="2"/>
  <c r="AI15" i="2"/>
  <c r="AI30" i="2"/>
  <c r="AH21" i="2"/>
  <c r="AH52" i="2" s="1"/>
  <c r="AI28" i="2"/>
  <c r="AH37" i="2"/>
  <c r="AI19" i="2"/>
  <c r="M44" i="2"/>
  <c r="N28" i="2"/>
  <c r="AI12" i="2"/>
  <c r="AG37" i="2"/>
  <c r="AH105" i="2" l="1"/>
  <c r="AH111" i="2"/>
  <c r="L105" i="2"/>
  <c r="N105" i="2" s="1"/>
  <c r="L111" i="2"/>
  <c r="L55" i="2"/>
  <c r="L59" i="2" s="1"/>
  <c r="L83" i="2" s="1"/>
  <c r="L87" i="2" s="1"/>
  <c r="L98" i="2" s="1"/>
  <c r="N111" i="2"/>
  <c r="N113" i="2" s="1"/>
  <c r="AI21" i="2"/>
  <c r="AI37" i="2"/>
  <c r="N52" i="2"/>
  <c r="AG52" i="2"/>
  <c r="AH44" i="2"/>
  <c r="M54" i="2"/>
  <c r="M46" i="2"/>
  <c r="N44" i="2"/>
  <c r="AG44" i="2"/>
  <c r="AG46" i="2" s="1"/>
  <c r="M106" i="2" l="1"/>
  <c r="N106" i="2" s="1"/>
  <c r="N107" i="2" s="1"/>
  <c r="M112" i="2"/>
  <c r="N112" i="2" s="1"/>
  <c r="N114" i="2" s="1"/>
  <c r="N115" i="2" s="1"/>
  <c r="N116" i="2" s="1"/>
  <c r="AG105" i="2"/>
  <c r="AG111" i="2"/>
  <c r="AI105" i="2"/>
  <c r="AI52" i="2"/>
  <c r="AI100" i="2" s="1"/>
  <c r="AI44" i="2"/>
  <c r="AI46" i="2" s="1"/>
  <c r="AG54" i="2"/>
  <c r="N46" i="2"/>
  <c r="N100" i="2"/>
  <c r="AH54" i="2"/>
  <c r="AH46" i="2"/>
  <c r="M55" i="2"/>
  <c r="N54" i="2"/>
  <c r="AH55" i="2" l="1"/>
  <c r="AH83" i="2" s="1"/>
  <c r="AH87" i="2" s="1"/>
  <c r="AH98" i="2" s="1"/>
  <c r="AH106" i="2"/>
  <c r="AH112" i="2"/>
  <c r="AI111" i="2"/>
  <c r="AI113" i="2" s="1"/>
  <c r="AG106" i="2"/>
  <c r="AI106" i="2" s="1"/>
  <c r="AI107" i="2" s="1"/>
  <c r="AG112" i="2"/>
  <c r="AG55" i="2"/>
  <c r="AI55" i="2" s="1"/>
  <c r="AI83" i="2" s="1"/>
  <c r="AI54" i="2"/>
  <c r="M83" i="2"/>
  <c r="M87" i="2" s="1"/>
  <c r="M98" i="2" s="1"/>
  <c r="N55" i="2"/>
  <c r="AI112" i="2" l="1"/>
  <c r="AI114" i="2" s="1"/>
  <c r="AI115" i="2" s="1"/>
  <c r="AI116" i="2" s="1"/>
  <c r="AG83" i="2"/>
  <c r="AG87" i="2" s="1"/>
  <c r="AG98" i="2" s="1"/>
  <c r="N59" i="2"/>
  <c r="N83" i="2" s="1"/>
  <c r="AI89" i="2"/>
  <c r="AI90" i="2" s="1"/>
  <c r="AI87" i="2"/>
  <c r="AI98" i="2" s="1"/>
  <c r="N89" i="2" l="1"/>
  <c r="N90" i="2" s="1"/>
  <c r="N87" i="2"/>
  <c r="N98" i="2" s="1"/>
  <c r="AF96" i="2"/>
  <c r="AF86" i="2"/>
  <c r="AF81" i="2"/>
  <c r="AF82" i="2" s="1"/>
  <c r="AE72" i="2"/>
  <c r="AE73" i="2" s="1"/>
  <c r="AD72" i="2"/>
  <c r="AD73" i="2" s="1"/>
  <c r="AE47" i="2"/>
  <c r="AF43" i="2"/>
  <c r="AD42" i="2"/>
  <c r="AF39" i="2"/>
  <c r="AF38" i="2"/>
  <c r="AF36" i="2"/>
  <c r="AF35" i="2"/>
  <c r="AF34" i="2"/>
  <c r="AF33" i="2"/>
  <c r="AF32" i="2"/>
  <c r="AF31" i="2"/>
  <c r="AE30" i="2"/>
  <c r="AD30" i="2"/>
  <c r="AF29" i="2"/>
  <c r="AE28" i="2"/>
  <c r="AD28" i="2"/>
  <c r="AF27" i="2"/>
  <c r="AF26" i="2"/>
  <c r="AF25" i="2"/>
  <c r="AF24" i="2"/>
  <c r="AF23" i="2"/>
  <c r="AF20" i="2"/>
  <c r="AD19" i="2"/>
  <c r="AF19" i="2" s="1"/>
  <c r="AF16" i="2"/>
  <c r="AE15" i="2"/>
  <c r="AD15" i="2"/>
  <c r="AF13" i="2"/>
  <c r="AE12" i="2"/>
  <c r="AD12" i="2"/>
  <c r="AF10" i="2"/>
  <c r="AF9" i="2"/>
  <c r="AF8" i="2"/>
  <c r="AF7" i="2"/>
  <c r="AF6" i="2"/>
  <c r="AF5" i="2"/>
  <c r="AF42" i="2" l="1"/>
  <c r="AD21" i="2"/>
  <c r="AD52" i="2" s="1"/>
  <c r="AD37" i="2"/>
  <c r="AD44" i="2" s="1"/>
  <c r="AF47" i="2"/>
  <c r="AE37" i="2"/>
  <c r="AF15" i="2"/>
  <c r="AE21" i="2"/>
  <c r="AF28" i="2"/>
  <c r="AF30" i="2"/>
  <c r="AF12" i="2"/>
  <c r="AD105" i="2" l="1"/>
  <c r="AD111" i="2"/>
  <c r="AF37" i="2"/>
  <c r="AF21" i="2"/>
  <c r="AE52" i="2"/>
  <c r="AD54" i="2"/>
  <c r="AE44" i="2"/>
  <c r="AD46" i="2"/>
  <c r="AD106" i="2" l="1"/>
  <c r="AD112" i="2"/>
  <c r="AF52" i="2"/>
  <c r="AE105" i="2"/>
  <c r="AE111" i="2"/>
  <c r="AF105" i="2"/>
  <c r="AD55" i="2"/>
  <c r="AD83" i="2" s="1"/>
  <c r="AE54" i="2"/>
  <c r="AE46" i="2"/>
  <c r="AF44" i="2"/>
  <c r="AF100" i="2"/>
  <c r="AF111" i="2" l="1"/>
  <c r="AF113" i="2" s="1"/>
  <c r="AE106" i="2"/>
  <c r="AF106" i="2" s="1"/>
  <c r="AF107" i="2" s="1"/>
  <c r="AE112" i="2"/>
  <c r="AF46" i="2"/>
  <c r="AD87" i="2"/>
  <c r="AD98" i="2" s="1"/>
  <c r="AF54" i="2"/>
  <c r="AE55" i="2"/>
  <c r="AF115" i="2" l="1"/>
  <c r="AF116" i="2" s="1"/>
  <c r="AF112" i="2"/>
  <c r="AF114" i="2" s="1"/>
  <c r="AE83" i="2"/>
  <c r="AE87" i="2" s="1"/>
  <c r="AE98" i="2" s="1"/>
  <c r="AF55" i="2"/>
  <c r="AF83" i="2" s="1"/>
  <c r="AC96" i="2"/>
  <c r="AB86" i="2"/>
  <c r="AC86" i="2" s="1"/>
  <c r="AC81" i="2"/>
  <c r="AC82" i="2" s="1"/>
  <c r="AB72" i="2"/>
  <c r="AB73" i="2" s="1"/>
  <c r="AA72" i="2"/>
  <c r="AA73" i="2" s="1"/>
  <c r="AB47" i="2"/>
  <c r="AC43" i="2"/>
  <c r="AA42" i="2"/>
  <c r="AC39" i="2"/>
  <c r="AC38" i="2"/>
  <c r="AC36" i="2"/>
  <c r="AC35" i="2"/>
  <c r="AC34" i="2"/>
  <c r="AC33" i="2"/>
  <c r="AC32" i="2"/>
  <c r="AC31" i="2"/>
  <c r="AB30" i="2"/>
  <c r="AA30" i="2"/>
  <c r="AC29" i="2"/>
  <c r="AA28" i="2"/>
  <c r="AC27" i="2"/>
  <c r="AC26" i="2"/>
  <c r="AC25" i="2"/>
  <c r="AB24" i="2"/>
  <c r="AC23" i="2"/>
  <c r="AC20" i="2"/>
  <c r="AA19" i="2"/>
  <c r="AC16" i="2"/>
  <c r="AB15" i="2"/>
  <c r="AA15" i="2"/>
  <c r="AC13" i="2"/>
  <c r="AB12" i="2"/>
  <c r="AA12" i="2"/>
  <c r="AC10" i="2"/>
  <c r="AC9" i="2"/>
  <c r="AC8" i="2"/>
  <c r="AC7" i="2"/>
  <c r="AC6" i="2"/>
  <c r="AC5" i="2"/>
  <c r="AF89" i="2" l="1"/>
  <c r="AF90" i="2" s="1"/>
  <c r="AF87" i="2"/>
  <c r="AF98" i="2" s="1"/>
  <c r="AA21" i="2"/>
  <c r="AB21" i="2"/>
  <c r="AC30" i="2"/>
  <c r="AC47" i="2"/>
  <c r="AC24" i="2"/>
  <c r="AB37" i="2"/>
  <c r="AC19" i="2"/>
  <c r="AB28" i="2"/>
  <c r="AC28" i="2" s="1"/>
  <c r="AC42" i="2"/>
  <c r="AC15" i="2"/>
  <c r="AC12" i="2"/>
  <c r="AA37" i="2"/>
  <c r="AB52" i="2" l="1"/>
  <c r="AC21" i="2"/>
  <c r="AB44" i="2"/>
  <c r="AB46" i="2" s="1"/>
  <c r="AC37" i="2"/>
  <c r="AA52" i="2"/>
  <c r="AA44" i="2"/>
  <c r="AA54" i="2" s="1"/>
  <c r="AB105" i="2" l="1"/>
  <c r="AB111" i="2"/>
  <c r="AA112" i="2"/>
  <c r="AA106" i="2"/>
  <c r="AA105" i="2"/>
  <c r="AA111" i="2"/>
  <c r="AB54" i="2"/>
  <c r="AC44" i="2"/>
  <c r="AC52" i="2"/>
  <c r="AA46" i="2"/>
  <c r="AA55" i="2"/>
  <c r="AA59" i="2" s="1"/>
  <c r="AB55" i="2" l="1"/>
  <c r="AB59" i="2" s="1"/>
  <c r="AC59" i="2" s="1"/>
  <c r="AC83" i="2" s="1"/>
  <c r="AB112" i="2"/>
  <c r="AB106" i="2"/>
  <c r="AC106" i="2" s="1"/>
  <c r="AC112" i="2"/>
  <c r="AC114" i="2" s="1"/>
  <c r="AC111" i="2"/>
  <c r="AC113" i="2" s="1"/>
  <c r="AC115" i="2" s="1"/>
  <c r="AC116" i="2" s="1"/>
  <c r="AC105" i="2"/>
  <c r="AC54" i="2"/>
  <c r="AC46" i="2"/>
  <c r="AB83" i="2"/>
  <c r="AA83" i="2"/>
  <c r="AC100" i="2"/>
  <c r="AC55" i="2"/>
  <c r="AC107" i="2" l="1"/>
  <c r="AA87" i="2"/>
  <c r="AA98" i="2" s="1"/>
  <c r="AB87" i="2"/>
  <c r="AB98" i="2" s="1"/>
  <c r="AC89" i="2"/>
  <c r="AC90" i="2" s="1"/>
  <c r="AC87" i="2"/>
  <c r="AC98" i="2" s="1"/>
  <c r="Z96" i="2" l="1"/>
  <c r="Y86" i="2"/>
  <c r="Z86" i="2" s="1"/>
  <c r="Z81" i="2"/>
  <c r="Z82" i="2" s="1"/>
  <c r="Y72" i="2"/>
  <c r="Y73" i="2" s="1"/>
  <c r="X72" i="2"/>
  <c r="X73" i="2" s="1"/>
  <c r="Y47" i="2"/>
  <c r="Z43" i="2"/>
  <c r="X42" i="2"/>
  <c r="Z39" i="2"/>
  <c r="Z38" i="2"/>
  <c r="Z36" i="2"/>
  <c r="Z35" i="2"/>
  <c r="Z34" i="2"/>
  <c r="Z33" i="2"/>
  <c r="Z32" i="2"/>
  <c r="Z31" i="2"/>
  <c r="Y30" i="2"/>
  <c r="X30" i="2"/>
  <c r="Z29" i="2"/>
  <c r="Y28" i="2"/>
  <c r="X28" i="2"/>
  <c r="Z27" i="2"/>
  <c r="Z26" i="2"/>
  <c r="Z25" i="2"/>
  <c r="Z24" i="2"/>
  <c r="Z23" i="2"/>
  <c r="Z20" i="2"/>
  <c r="X19" i="2"/>
  <c r="Z16" i="2"/>
  <c r="Y15" i="2"/>
  <c r="X15" i="2"/>
  <c r="Z13" i="2"/>
  <c r="Y12" i="2"/>
  <c r="X12" i="2"/>
  <c r="Z10" i="2"/>
  <c r="Z9" i="2"/>
  <c r="Z8" i="2"/>
  <c r="Z7" i="2"/>
  <c r="Z6" i="2"/>
  <c r="Z5" i="2"/>
  <c r="Y21" i="2" l="1"/>
  <c r="X37" i="2"/>
  <c r="X44" i="2" s="1"/>
  <c r="X54" i="2" s="1"/>
  <c r="Y37" i="2"/>
  <c r="Y44" i="2" s="1"/>
  <c r="Z47" i="2"/>
  <c r="Z42" i="2"/>
  <c r="Z19" i="2"/>
  <c r="Z28" i="2"/>
  <c r="X21" i="2"/>
  <c r="Z15" i="2"/>
  <c r="Z30" i="2"/>
  <c r="Z12" i="2"/>
  <c r="X112" i="2" l="1"/>
  <c r="X106" i="2"/>
  <c r="Y54" i="2"/>
  <c r="Y46" i="2"/>
  <c r="Y52" i="2"/>
  <c r="Z21" i="2"/>
  <c r="X46" i="2"/>
  <c r="Z37" i="2"/>
  <c r="X52" i="2"/>
  <c r="Z44" i="2"/>
  <c r="Y55" i="2" l="1"/>
  <c r="Y83" i="2" s="1"/>
  <c r="Y111" i="2"/>
  <c r="Y105" i="2"/>
  <c r="Z54" i="2"/>
  <c r="Y112" i="2"/>
  <c r="Z112" i="2" s="1"/>
  <c r="Z114" i="2" s="1"/>
  <c r="Y106" i="2"/>
  <c r="Z106" i="2"/>
  <c r="X111" i="2"/>
  <c r="X105" i="2"/>
  <c r="Z46" i="2"/>
  <c r="Z52" i="2"/>
  <c r="X55" i="2"/>
  <c r="Z55" i="2" s="1"/>
  <c r="Z83" i="2" s="1"/>
  <c r="Z105" i="2" l="1"/>
  <c r="Z107" i="2" s="1"/>
  <c r="Z111" i="2"/>
  <c r="Z113" i="2" s="1"/>
  <c r="Z115" i="2" s="1"/>
  <c r="Z116" i="2" s="1"/>
  <c r="X83" i="2"/>
  <c r="X87" i="2" s="1"/>
  <c r="X98" i="2" s="1"/>
  <c r="Z100" i="2"/>
  <c r="Y87" i="2"/>
  <c r="Y98" i="2" s="1"/>
  <c r="Z89" i="2"/>
  <c r="Z90" i="2" s="1"/>
  <c r="Z87" i="2"/>
  <c r="Z98" i="2" s="1"/>
  <c r="W96" i="2" l="1"/>
  <c r="V86" i="2"/>
  <c r="W81" i="2"/>
  <c r="W82" i="2" s="1"/>
  <c r="V72" i="2"/>
  <c r="V73" i="2" s="1"/>
  <c r="U72" i="2"/>
  <c r="U73" i="2" s="1"/>
  <c r="V47" i="2"/>
  <c r="W43" i="2"/>
  <c r="U42" i="2"/>
  <c r="W39" i="2"/>
  <c r="W38" i="2"/>
  <c r="W36" i="2"/>
  <c r="W35" i="2"/>
  <c r="W34" i="2"/>
  <c r="W33" i="2"/>
  <c r="W32" i="2"/>
  <c r="W31" i="2"/>
  <c r="V30" i="2"/>
  <c r="U30" i="2"/>
  <c r="W29" i="2"/>
  <c r="V28" i="2"/>
  <c r="U28" i="2"/>
  <c r="W27" i="2"/>
  <c r="W26" i="2"/>
  <c r="W25" i="2"/>
  <c r="W24" i="2"/>
  <c r="W23" i="2"/>
  <c r="W20" i="2"/>
  <c r="U19" i="2"/>
  <c r="W16" i="2"/>
  <c r="V15" i="2"/>
  <c r="U15" i="2"/>
  <c r="W13" i="2"/>
  <c r="V12" i="2"/>
  <c r="U12" i="2"/>
  <c r="W10" i="2"/>
  <c r="W9" i="2"/>
  <c r="W8" i="2"/>
  <c r="W7" i="2"/>
  <c r="W6" i="2"/>
  <c r="W5" i="2"/>
  <c r="W42" i="2" l="1"/>
  <c r="V21" i="2"/>
  <c r="U37" i="2"/>
  <c r="U44" i="2" s="1"/>
  <c r="W47" i="2"/>
  <c r="W19" i="2"/>
  <c r="U21" i="2"/>
  <c r="U52" i="2" s="1"/>
  <c r="V37" i="2"/>
  <c r="V44" i="2" s="1"/>
  <c r="W86" i="2"/>
  <c r="W15" i="2"/>
  <c r="W28" i="2"/>
  <c r="W30" i="2"/>
  <c r="W12" i="2"/>
  <c r="U105" i="2" l="1"/>
  <c r="U111" i="2"/>
  <c r="V52" i="2"/>
  <c r="W52" i="2" s="1"/>
  <c r="W21" i="2"/>
  <c r="V54" i="2"/>
  <c r="U54" i="2"/>
  <c r="W37" i="2"/>
  <c r="U46" i="2"/>
  <c r="V46" i="2"/>
  <c r="W44" i="2"/>
  <c r="U112" i="2" l="1"/>
  <c r="U106" i="2"/>
  <c r="V112" i="2"/>
  <c r="V106" i="2"/>
  <c r="V55" i="2"/>
  <c r="V83" i="2" s="1"/>
  <c r="V105" i="2"/>
  <c r="W105" i="2" s="1"/>
  <c r="V111" i="2"/>
  <c r="W46" i="2"/>
  <c r="W54" i="2"/>
  <c r="U55" i="2"/>
  <c r="W100" i="2"/>
  <c r="U83" i="2"/>
  <c r="W111" i="2" l="1"/>
  <c r="W113" i="2" s="1"/>
  <c r="W115" i="2" s="1"/>
  <c r="W116" i="2" s="1"/>
  <c r="W106" i="2"/>
  <c r="W107" i="2"/>
  <c r="W55" i="2"/>
  <c r="W83" i="2" s="1"/>
  <c r="W87" i="2" s="1"/>
  <c r="W98" i="2" s="1"/>
  <c r="W112" i="2"/>
  <c r="W114" i="2" s="1"/>
  <c r="V87" i="2"/>
  <c r="V98" i="2" s="1"/>
  <c r="U87" i="2"/>
  <c r="U98" i="2" s="1"/>
  <c r="W89" i="2" l="1"/>
  <c r="W90" i="2" s="1"/>
  <c r="T96" i="2"/>
  <c r="S86" i="2"/>
  <c r="T86" i="2" s="1"/>
  <c r="T81" i="2"/>
  <c r="T82" i="2" s="1"/>
  <c r="S72" i="2"/>
  <c r="S73" i="2" s="1"/>
  <c r="R72" i="2"/>
  <c r="R73" i="2" s="1"/>
  <c r="S47" i="2"/>
  <c r="T47" i="2" s="1"/>
  <c r="T43" i="2"/>
  <c r="R42" i="2"/>
  <c r="T39" i="2"/>
  <c r="T38" i="2"/>
  <c r="T36" i="2"/>
  <c r="T35" i="2"/>
  <c r="T34" i="2"/>
  <c r="T33" i="2"/>
  <c r="T32" i="2"/>
  <c r="T31" i="2"/>
  <c r="S30" i="2"/>
  <c r="S37" i="2" s="1"/>
  <c r="R30" i="2"/>
  <c r="T29" i="2"/>
  <c r="R28" i="2"/>
  <c r="T27" i="2"/>
  <c r="T26" i="2"/>
  <c r="T25" i="2"/>
  <c r="S24" i="2"/>
  <c r="S28" i="2" s="1"/>
  <c r="T23" i="2"/>
  <c r="T20" i="2"/>
  <c r="R19" i="2"/>
  <c r="T16" i="2"/>
  <c r="S15" i="2"/>
  <c r="R15" i="2"/>
  <c r="T13" i="2"/>
  <c r="S12" i="2"/>
  <c r="R12" i="2"/>
  <c r="T10" i="2"/>
  <c r="T9" i="2"/>
  <c r="T8" i="2"/>
  <c r="T7" i="2"/>
  <c r="T6" i="2"/>
  <c r="T5" i="2"/>
  <c r="T19" i="2" l="1"/>
  <c r="S44" i="2"/>
  <c r="S21" i="2"/>
  <c r="R37" i="2"/>
  <c r="R44" i="2" s="1"/>
  <c r="T42" i="2"/>
  <c r="R21" i="2"/>
  <c r="T24" i="2"/>
  <c r="T15" i="2"/>
  <c r="T28" i="2"/>
  <c r="T30" i="2"/>
  <c r="T12" i="2"/>
  <c r="S54" i="2" l="1"/>
  <c r="R46" i="2"/>
  <c r="S46" i="2"/>
  <c r="S52" i="2"/>
  <c r="T21" i="2"/>
  <c r="R52" i="2"/>
  <c r="T37" i="2"/>
  <c r="T44" i="2"/>
  <c r="R54" i="2"/>
  <c r="R111" i="2" l="1"/>
  <c r="R105" i="2"/>
  <c r="S105" i="2"/>
  <c r="S111" i="2"/>
  <c r="S112" i="2"/>
  <c r="S106" i="2"/>
  <c r="R106" i="2"/>
  <c r="T106" i="2" s="1"/>
  <c r="R112" i="2"/>
  <c r="T112" i="2" s="1"/>
  <c r="T114" i="2" s="1"/>
  <c r="T46" i="2"/>
  <c r="T52" i="2"/>
  <c r="S55" i="2"/>
  <c r="R55" i="2"/>
  <c r="T54" i="2"/>
  <c r="T111" i="2" l="1"/>
  <c r="T113" i="2" s="1"/>
  <c r="T115" i="2" s="1"/>
  <c r="T116" i="2" s="1"/>
  <c r="T105" i="2"/>
  <c r="T107" i="2" s="1"/>
  <c r="S83" i="2"/>
  <c r="T100" i="2"/>
  <c r="T55" i="2"/>
  <c r="R83" i="2"/>
  <c r="R87" i="2" l="1"/>
  <c r="R98" i="2" s="1"/>
  <c r="T83" i="2"/>
  <c r="T89" i="2" s="1"/>
  <c r="T90" i="2" s="1"/>
  <c r="S87" i="2"/>
  <c r="S98" i="2" s="1"/>
  <c r="T87" i="2" l="1"/>
  <c r="T98" i="2" s="1"/>
  <c r="Q96" i="2"/>
  <c r="P86" i="2"/>
  <c r="Q81" i="2"/>
  <c r="Q82" i="2" s="1"/>
  <c r="P72" i="2"/>
  <c r="P73" i="2" s="1"/>
  <c r="O72" i="2"/>
  <c r="O73" i="2" s="1"/>
  <c r="P47" i="2"/>
  <c r="Q43" i="2"/>
  <c r="O42" i="2"/>
  <c r="Q39" i="2"/>
  <c r="Q38" i="2"/>
  <c r="Q36" i="2"/>
  <c r="O35" i="2"/>
  <c r="AJ35" i="2" s="1"/>
  <c r="Q34" i="2"/>
  <c r="Q33" i="2"/>
  <c r="Q32" i="2"/>
  <c r="Q31" i="2"/>
  <c r="P30" i="2"/>
  <c r="P37" i="2" s="1"/>
  <c r="O30" i="2"/>
  <c r="Q29" i="2"/>
  <c r="P28" i="2"/>
  <c r="O28" i="2"/>
  <c r="Q27" i="2"/>
  <c r="Q26" i="2"/>
  <c r="Q25" i="2"/>
  <c r="Q24" i="2"/>
  <c r="Q23" i="2"/>
  <c r="Q20" i="2"/>
  <c r="O19" i="2"/>
  <c r="Q16" i="2"/>
  <c r="P15" i="2"/>
  <c r="O15" i="2"/>
  <c r="Q13" i="2"/>
  <c r="P12" i="2"/>
  <c r="O12" i="2"/>
  <c r="Q10" i="2"/>
  <c r="Q9" i="2"/>
  <c r="Q8" i="2"/>
  <c r="Q7" i="2"/>
  <c r="Q6" i="2"/>
  <c r="Q5" i="2"/>
  <c r="Q47" i="2" l="1"/>
  <c r="Q19" i="2"/>
  <c r="O21" i="2"/>
  <c r="Q30" i="2"/>
  <c r="P44" i="2"/>
  <c r="P21" i="2"/>
  <c r="P52" i="2" s="1"/>
  <c r="Q15" i="2"/>
  <c r="Q42" i="2"/>
  <c r="Q86" i="2"/>
  <c r="Q12" i="2"/>
  <c r="O37" i="2"/>
  <c r="Q35" i="2"/>
  <c r="Q28" i="2"/>
  <c r="P105" i="2" l="1"/>
  <c r="P111" i="2"/>
  <c r="P54" i="2"/>
  <c r="Q37" i="2"/>
  <c r="P46" i="2"/>
  <c r="O52" i="2"/>
  <c r="Q21" i="2"/>
  <c r="O44" i="2"/>
  <c r="O105" i="2" l="1"/>
  <c r="Q105" i="2" s="1"/>
  <c r="O111" i="2"/>
  <c r="P112" i="2"/>
  <c r="P106" i="2"/>
  <c r="P55" i="2"/>
  <c r="P83" i="2" s="1"/>
  <c r="O54" i="2"/>
  <c r="O46" i="2"/>
  <c r="Q44" i="2"/>
  <c r="Q52" i="2"/>
  <c r="O112" i="2" l="1"/>
  <c r="Q112" i="2" s="1"/>
  <c r="Q114" i="2" s="1"/>
  <c r="O106" i="2"/>
  <c r="Q106" i="2" s="1"/>
  <c r="Q107" i="2" s="1"/>
  <c r="Q111" i="2"/>
  <c r="Q113" i="2" s="1"/>
  <c r="Q115" i="2" s="1"/>
  <c r="Q116" i="2" s="1"/>
  <c r="Q46" i="2"/>
  <c r="P87" i="2"/>
  <c r="P98" i="2" s="1"/>
  <c r="Q100" i="2"/>
  <c r="O55" i="2"/>
  <c r="Q54" i="2"/>
  <c r="Q55" i="2" l="1"/>
  <c r="O83" i="2"/>
  <c r="K96" i="2"/>
  <c r="J86" i="2"/>
  <c r="K81" i="2"/>
  <c r="K82" i="2" s="1"/>
  <c r="J72" i="2"/>
  <c r="J73" i="2" s="1"/>
  <c r="I72" i="2"/>
  <c r="I73" i="2" s="1"/>
  <c r="J47" i="2"/>
  <c r="K43" i="2"/>
  <c r="I42" i="2"/>
  <c r="K39" i="2"/>
  <c r="K38" i="2"/>
  <c r="K36" i="2"/>
  <c r="K35" i="2"/>
  <c r="K34" i="2"/>
  <c r="K33" i="2"/>
  <c r="K32" i="2"/>
  <c r="K31" i="2"/>
  <c r="J30" i="2"/>
  <c r="I30" i="2"/>
  <c r="K29" i="2"/>
  <c r="I28" i="2"/>
  <c r="J27" i="2"/>
  <c r="K26" i="2"/>
  <c r="K25" i="2"/>
  <c r="J24" i="2"/>
  <c r="K23" i="2"/>
  <c r="K20" i="2"/>
  <c r="I19" i="2"/>
  <c r="K16" i="2"/>
  <c r="J15" i="2"/>
  <c r="I15" i="2"/>
  <c r="K13" i="2"/>
  <c r="J12" i="2"/>
  <c r="I12" i="2"/>
  <c r="K10" i="2"/>
  <c r="K9" i="2"/>
  <c r="K8" i="2"/>
  <c r="K7" i="2"/>
  <c r="K6" i="2"/>
  <c r="K5" i="2"/>
  <c r="I21" i="2" l="1"/>
  <c r="I52" i="2" s="1"/>
  <c r="I105" i="2" s="1"/>
  <c r="I37" i="2"/>
  <c r="J21" i="2"/>
  <c r="K27" i="2"/>
  <c r="AK27" i="2"/>
  <c r="K19" i="2"/>
  <c r="K42" i="2"/>
  <c r="K15" i="2"/>
  <c r="K47" i="2"/>
  <c r="Q83" i="2"/>
  <c r="K30" i="2"/>
  <c r="K24" i="2"/>
  <c r="AK24" i="2"/>
  <c r="O87" i="2"/>
  <c r="O98" i="2" s="1"/>
  <c r="K86" i="2"/>
  <c r="J28" i="2"/>
  <c r="K12" i="2"/>
  <c r="J37" i="2"/>
  <c r="I111" i="2" l="1"/>
  <c r="J52" i="2"/>
  <c r="K37" i="2"/>
  <c r="I44" i="2"/>
  <c r="K28" i="2"/>
  <c r="Q87" i="2"/>
  <c r="Q98" i="2" s="1"/>
  <c r="Q89" i="2"/>
  <c r="Q90" i="2" s="1"/>
  <c r="K21" i="2"/>
  <c r="J44" i="2"/>
  <c r="J46" i="2" s="1"/>
  <c r="J111" i="2" l="1"/>
  <c r="J105" i="2"/>
  <c r="K105" i="2" s="1"/>
  <c r="K111" i="2"/>
  <c r="K113" i="2" s="1"/>
  <c r="K44" i="2"/>
  <c r="K52" i="2"/>
  <c r="K100" i="2" s="1"/>
  <c r="K46" i="2"/>
  <c r="J54" i="2"/>
  <c r="I54" i="2"/>
  <c r="I106" i="2" s="1"/>
  <c r="I46" i="2"/>
  <c r="J112" i="2" l="1"/>
  <c r="J106" i="2"/>
  <c r="K106" i="2"/>
  <c r="K107" i="2" s="1"/>
  <c r="I112" i="2"/>
  <c r="K112" i="2" s="1"/>
  <c r="K114" i="2" s="1"/>
  <c r="K115" i="2" s="1"/>
  <c r="K116" i="2" s="1"/>
  <c r="J55" i="2"/>
  <c r="J83" i="2" s="1"/>
  <c r="I55" i="2"/>
  <c r="K54" i="2"/>
  <c r="I83" i="2" l="1"/>
  <c r="K55" i="2"/>
  <c r="J87" i="2"/>
  <c r="J98" i="2" s="1"/>
  <c r="E96" i="2"/>
  <c r="D86" i="2"/>
  <c r="E81" i="2"/>
  <c r="E82" i="2" s="1"/>
  <c r="D72" i="2"/>
  <c r="D73" i="2" s="1"/>
  <c r="C72" i="2"/>
  <c r="C73" i="2" s="1"/>
  <c r="E51" i="2"/>
  <c r="AL51" i="2" s="1"/>
  <c r="E50" i="2"/>
  <c r="AL50" i="2" s="1"/>
  <c r="D47" i="2"/>
  <c r="E43" i="2"/>
  <c r="AL43" i="2" s="1"/>
  <c r="C42" i="2"/>
  <c r="E39" i="2"/>
  <c r="AL39" i="2" s="1"/>
  <c r="E38" i="2"/>
  <c r="AL38" i="2" s="1"/>
  <c r="E36" i="2"/>
  <c r="AL36" i="2" s="1"/>
  <c r="E35" i="2"/>
  <c r="AL35" i="2" s="1"/>
  <c r="E34" i="2"/>
  <c r="AL34" i="2" s="1"/>
  <c r="E33" i="2"/>
  <c r="AL33" i="2" s="1"/>
  <c r="E32" i="2"/>
  <c r="AL32" i="2" s="1"/>
  <c r="E31" i="2"/>
  <c r="AL31" i="2" s="1"/>
  <c r="D30" i="2"/>
  <c r="C30" i="2"/>
  <c r="E29" i="2"/>
  <c r="AL29" i="2" s="1"/>
  <c r="D28" i="2"/>
  <c r="AK28" i="2" s="1"/>
  <c r="C28" i="2"/>
  <c r="AJ28" i="2" s="1"/>
  <c r="E27" i="2"/>
  <c r="E26" i="2"/>
  <c r="E25" i="2"/>
  <c r="E24" i="2"/>
  <c r="E23" i="2"/>
  <c r="E20" i="2"/>
  <c r="C19" i="2"/>
  <c r="E16" i="2"/>
  <c r="AL16" i="2" s="1"/>
  <c r="D15" i="2"/>
  <c r="AK15" i="2" s="1"/>
  <c r="C15" i="2"/>
  <c r="AJ15" i="2" s="1"/>
  <c r="E13" i="2"/>
  <c r="AL13" i="2" s="1"/>
  <c r="D12" i="2"/>
  <c r="AK12" i="2" s="1"/>
  <c r="C12" i="2"/>
  <c r="AJ12" i="2" s="1"/>
  <c r="E10" i="2"/>
  <c r="AL10" i="2" s="1"/>
  <c r="E9" i="2"/>
  <c r="AL9" i="2" s="1"/>
  <c r="E8" i="2"/>
  <c r="AL8" i="2" s="1"/>
  <c r="E7" i="2"/>
  <c r="AL7" i="2" s="1"/>
  <c r="E6" i="2"/>
  <c r="AL6" i="2" s="1"/>
  <c r="E5" i="2"/>
  <c r="AL5" i="2" s="1"/>
  <c r="C37" i="2" l="1"/>
  <c r="AJ37" i="2" s="1"/>
  <c r="AJ30" i="2"/>
  <c r="D37" i="2"/>
  <c r="AK37" i="2" s="1"/>
  <c r="AK44" i="2" s="1"/>
  <c r="AK30" i="2"/>
  <c r="I87" i="2"/>
  <c r="I98" i="2" s="1"/>
  <c r="E47" i="2"/>
  <c r="AL47" i="2" s="1"/>
  <c r="AK47" i="2"/>
  <c r="E19" i="2"/>
  <c r="AJ19" i="2"/>
  <c r="E42" i="2"/>
  <c r="AL42" i="2" s="1"/>
  <c r="AJ42" i="2"/>
  <c r="K83" i="2"/>
  <c r="E86" i="2"/>
  <c r="AL86" i="2" s="1"/>
  <c r="AK86" i="2"/>
  <c r="E15" i="2"/>
  <c r="AL15" i="2" s="1"/>
  <c r="D21" i="2"/>
  <c r="E28" i="2"/>
  <c r="C21" i="2"/>
  <c r="C44" i="2"/>
  <c r="E30" i="2"/>
  <c r="AL30" i="2" s="1"/>
  <c r="E12" i="2"/>
  <c r="AL12" i="2" s="1"/>
  <c r="D44" i="2" l="1"/>
  <c r="D54" i="2" s="1"/>
  <c r="D112" i="2" s="1"/>
  <c r="AK112" i="2" s="1"/>
  <c r="AJ44" i="2"/>
  <c r="AL44" i="2" s="1"/>
  <c r="D52" i="2"/>
  <c r="D111" i="2" s="1"/>
  <c r="AK111" i="2" s="1"/>
  <c r="C52" i="2"/>
  <c r="AJ21" i="2"/>
  <c r="E37" i="2"/>
  <c r="AL37" i="2" s="1"/>
  <c r="K89" i="2"/>
  <c r="K90" i="2" s="1"/>
  <c r="K87" i="2"/>
  <c r="K98" i="2" s="1"/>
  <c r="E21" i="2"/>
  <c r="C54" i="2"/>
  <c r="E44" i="2"/>
  <c r="C46" i="2"/>
  <c r="AJ46" i="2" s="1"/>
  <c r="E52" i="2"/>
  <c r="D46" i="2" l="1"/>
  <c r="AK46" i="2" s="1"/>
  <c r="C105" i="2"/>
  <c r="C111" i="2"/>
  <c r="C106" i="2"/>
  <c r="C112" i="2"/>
  <c r="AK54" i="2"/>
  <c r="AK106" i="2" s="1"/>
  <c r="D106" i="2"/>
  <c r="AK52" i="2"/>
  <c r="AK105" i="2" s="1"/>
  <c r="D105" i="2"/>
  <c r="D55" i="2"/>
  <c r="D83" i="2" s="1"/>
  <c r="AJ54" i="2"/>
  <c r="AJ106" i="2" s="1"/>
  <c r="AJ52" i="2"/>
  <c r="AJ105" i="2" s="1"/>
  <c r="E100" i="2"/>
  <c r="AL52" i="2"/>
  <c r="E46" i="2"/>
  <c r="AL46" i="2" s="1"/>
  <c r="E54" i="2"/>
  <c r="C55" i="2"/>
  <c r="E105" i="2" l="1"/>
  <c r="AL105" i="2"/>
  <c r="E106" i="2"/>
  <c r="E107" i="2" s="1"/>
  <c r="AL106" i="2"/>
  <c r="AL107" i="2" s="1"/>
  <c r="E111" i="2"/>
  <c r="E113" i="2" s="1"/>
  <c r="E115" i="2" s="1"/>
  <c r="E116" i="2" s="1"/>
  <c r="AJ111" i="2"/>
  <c r="AL111" i="2" s="1"/>
  <c r="AL113" i="2" s="1"/>
  <c r="E112" i="2"/>
  <c r="E114" i="2" s="1"/>
  <c r="AJ112" i="2"/>
  <c r="AL112" i="2" s="1"/>
  <c r="AL114" i="2" s="1"/>
  <c r="AK55" i="2"/>
  <c r="C83" i="2"/>
  <c r="AJ55" i="2"/>
  <c r="D87" i="2"/>
  <c r="D98" i="2" s="1"/>
  <c r="AK83" i="2"/>
  <c r="AK87" i="2" s="1"/>
  <c r="AK98" i="2" s="1"/>
  <c r="AL54" i="2"/>
  <c r="E55" i="2"/>
  <c r="AL115" i="2" l="1"/>
  <c r="AL116" i="2" s="1"/>
  <c r="AJ83" i="2"/>
  <c r="AJ87" i="2" s="1"/>
  <c r="AJ98" i="2" s="1"/>
  <c r="C87" i="2"/>
  <c r="C98" i="2" s="1"/>
  <c r="E83" i="2"/>
  <c r="AL83" i="2" s="1"/>
  <c r="AL87" i="2" s="1"/>
  <c r="AL98" i="2" s="1"/>
  <c r="AL55" i="2"/>
  <c r="E87" i="2" l="1"/>
  <c r="E98" i="2" s="1"/>
  <c r="E89" i="2"/>
  <c r="E9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Tiraoro Luisa</author>
    <author>Giorgia Lando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Tiraoro Luisa: sottratti 90.769 per iva su ricavi conai incassati e fatturati dal comune verificare con Ravenna Asvo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Tiraoro Luisa:</t>
        </r>
        <r>
          <rPr>
            <sz val="9"/>
            <color indexed="81"/>
            <rFont val="Tahoma"/>
            <family val="2"/>
          </rPr>
          <t xml:space="preserve">
verificare</t>
        </r>
      </text>
    </comment>
    <comment ref="AH3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Giorgia Lando:</t>
        </r>
        <r>
          <rPr>
            <sz val="9"/>
            <color indexed="81"/>
            <rFont val="Tahoma"/>
            <family val="2"/>
          </rPr>
          <t xml:space="preserve">
tale cifra di FCDE non era interamente nel PEF nel 2018. Nemmeno nel 2019; questo comporta un forte aumento nel 2020</t>
        </r>
      </text>
    </comment>
    <comment ref="P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Tiraoro Luisa: DA VERIFICARE CON COMUNE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Tiraoro Luisa: differenziale tra importo valorizzato da Asvo e riduzioni comunicate dal Comune di Caorle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<sst xmlns="http://schemas.openxmlformats.org/spreadsheetml/2006/main" count="260" uniqueCount="123">
  <si>
    <t>Input dati 
Ciclo integrato RU</t>
  </si>
  <si>
    <t xml:space="preserve">Input gestori (G) 
Input Ente territorialmente competente (E)
Dato calcolato (C)
Dato MTR </t>
  </si>
  <si>
    <r>
      <t xml:space="preserve">Costi dell’attività di raccolta e trasporto dei rifiuti urbani indifferenziati –  </t>
    </r>
    <r>
      <rPr>
        <b/>
        <i/>
        <sz val="12"/>
        <color theme="1"/>
        <rFont val="Calibri"/>
        <family val="2"/>
        <scheme val="minor"/>
      </rPr>
      <t>CRT</t>
    </r>
  </si>
  <si>
    <t>G</t>
  </si>
  <si>
    <r>
      <t xml:space="preserve">Costi dell’attività di trattamento e smaltimento dei rifiuti urbani – </t>
    </r>
    <r>
      <rPr>
        <b/>
        <i/>
        <sz val="12"/>
        <color theme="1"/>
        <rFont val="Calibri"/>
        <family val="2"/>
        <scheme val="minor"/>
      </rPr>
      <t>CTS</t>
    </r>
  </si>
  <si>
    <r>
      <t xml:space="preserve">Costi dell’attività di trattamento e recupero dei rifiuti urbani – </t>
    </r>
    <r>
      <rPr>
        <b/>
        <i/>
        <sz val="12"/>
        <color theme="1"/>
        <rFont val="Calibri"/>
        <family val="2"/>
        <scheme val="minor"/>
      </rPr>
      <t>CTR</t>
    </r>
  </si>
  <si>
    <r>
      <t xml:space="preserve">Costi dell’attività di raccolta e trasporto delle frazioni differenziate – </t>
    </r>
    <r>
      <rPr>
        <b/>
        <i/>
        <sz val="12"/>
        <color theme="1"/>
        <rFont val="Calibri"/>
        <family val="2"/>
        <scheme val="minor"/>
      </rPr>
      <t>CRD</t>
    </r>
  </si>
  <si>
    <r>
      <t xml:space="preserve">Costi operativi incentivanti variabili di cui all'articolo 8 del MTR –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</si>
  <si>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Proventi della vendita di materiale ed energia derivante da rifiuti – </t>
    </r>
    <r>
      <rPr>
        <b/>
        <i/>
        <sz val="12"/>
        <color theme="1"/>
        <rFont val="Calibri"/>
        <family val="2"/>
        <scheme val="minor"/>
      </rPr>
      <t>AR</t>
    </r>
  </si>
  <si>
    <r>
      <t xml:space="preserve">Fattore di Sharing  – </t>
    </r>
    <r>
      <rPr>
        <b/>
        <i/>
        <sz val="12"/>
        <color theme="1"/>
        <rFont val="Calibri"/>
        <family val="2"/>
        <scheme val="minor"/>
      </rPr>
      <t>b</t>
    </r>
  </si>
  <si>
    <t>E</t>
  </si>
  <si>
    <r>
      <t xml:space="preserve">Proventi della vendita di materiale ed energia derivante da rifiuti dopo sharing – </t>
    </r>
    <r>
      <rPr>
        <b/>
        <i/>
        <sz val="12"/>
        <color theme="1"/>
        <rFont val="Calibri"/>
        <family val="2"/>
        <scheme val="minor"/>
      </rPr>
      <t>b(AR)</t>
    </r>
  </si>
  <si>
    <r>
      <t xml:space="preserve">Ricavi derivanti dai corrispettivi riconosciuti dal CONAI – </t>
    </r>
    <r>
      <rPr>
        <b/>
        <i/>
        <sz val="12"/>
        <color theme="1"/>
        <rFont val="Calibri"/>
        <family val="2"/>
        <scheme val="minor"/>
      </rPr>
      <t>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</si>
  <si>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 xml:space="preserve">Fattore di Sharing  – </t>
    </r>
    <r>
      <rPr>
        <b/>
        <i/>
        <sz val="12"/>
        <color theme="1"/>
        <rFont val="Calibri"/>
        <family val="2"/>
        <scheme val="minor"/>
      </rPr>
      <t>b(1+ω)</t>
    </r>
  </si>
  <si>
    <r>
      <t xml:space="preserve">Ricavi derivanti dai corrispettivi riconosciuti dal CONAI dopo sharing  – </t>
    </r>
    <r>
      <rPr>
        <b/>
        <i/>
        <sz val="12"/>
        <color theme="1"/>
        <rFont val="Calibri"/>
        <family val="2"/>
        <scheme val="minor"/>
      </rPr>
      <t>b(1+ω)AR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</si>
  <si>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>Componente a conguaglio relativa ai costi variabili</t>
    </r>
    <r>
      <rPr>
        <b/>
        <i/>
        <sz val="12"/>
        <color theme="1"/>
        <rFont val="Calibri"/>
        <family val="2"/>
        <scheme val="minor"/>
      </rPr>
      <t xml:space="preserve"> –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</si>
  <si>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Coefficiente di gradualità </t>
    </r>
    <r>
      <rPr>
        <b/>
        <i/>
        <sz val="12"/>
        <color theme="1"/>
        <rFont val="Calibri"/>
        <family val="2"/>
        <scheme val="minor"/>
      </rPr>
      <t>(1+ɣ)</t>
    </r>
  </si>
  <si>
    <r>
      <t>Rateizzazione</t>
    </r>
    <r>
      <rPr>
        <b/>
        <i/>
        <sz val="12"/>
        <color theme="1"/>
        <rFont val="Calibri"/>
        <family val="2"/>
        <scheme val="minor"/>
      </rPr>
      <t xml:space="preserve"> r</t>
    </r>
  </si>
  <si>
    <r>
      <t>Componente a conguaglio relativa ai costi variabili</t>
    </r>
    <r>
      <rPr>
        <b/>
        <i/>
        <sz val="12"/>
        <color theme="1"/>
        <rFont val="Calibri"/>
        <family val="2"/>
        <scheme val="minor"/>
      </rPr>
      <t xml:space="preserve"> –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i/>
        <sz val="12"/>
        <color theme="1"/>
        <rFont val="Calibri"/>
        <family val="2"/>
        <scheme val="minor"/>
      </rPr>
      <t>/r</t>
    </r>
  </si>
  <si>
    <t>C</t>
  </si>
  <si>
    <t>Oneri relativi all'IVA indetraibile</t>
  </si>
  <si>
    <r>
      <t>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totale delle entrate tariffarie relative alle componenti di costo variabile </t>
    </r>
  </si>
  <si>
    <r>
      <t xml:space="preserve">Costi dell’attività di spazzamento e di lavaggio – </t>
    </r>
    <r>
      <rPr>
        <b/>
        <i/>
        <sz val="12"/>
        <color theme="1"/>
        <rFont val="Calibri"/>
        <family val="2"/>
        <scheme val="minor"/>
      </rPr>
      <t>CSL</t>
    </r>
  </si>
  <si>
    <r>
      <t xml:space="preserve">                   Costi per l’attività di gestione delle tariffe e dei rapporti con gli utenti - </t>
    </r>
    <r>
      <rPr>
        <b/>
        <i/>
        <sz val="12"/>
        <color theme="1"/>
        <rFont val="Calibri"/>
        <family val="2"/>
        <scheme val="minor"/>
      </rPr>
      <t>CARC</t>
    </r>
  </si>
  <si>
    <r>
      <t xml:space="preserve">                    Costi generali di gestione - </t>
    </r>
    <r>
      <rPr>
        <b/>
        <i/>
        <sz val="12"/>
        <color theme="1"/>
        <rFont val="Calibri"/>
        <family val="2"/>
        <scheme val="minor"/>
      </rPr>
      <t>CGG</t>
    </r>
  </si>
  <si>
    <r>
      <t xml:space="preserve">                    Costi relativi alla quota di crediti inesigibili  - </t>
    </r>
    <r>
      <rPr>
        <b/>
        <i/>
        <sz val="12"/>
        <color theme="1"/>
        <rFont val="Calibri"/>
        <family val="2"/>
        <scheme val="minor"/>
      </rPr>
      <t>CCD</t>
    </r>
  </si>
  <si>
    <r>
      <t xml:space="preserve">                    Altri costi - </t>
    </r>
    <r>
      <rPr>
        <b/>
        <i/>
        <sz val="12"/>
        <color theme="1"/>
        <rFont val="Calibri"/>
        <family val="2"/>
        <scheme val="minor"/>
      </rPr>
      <t>COal</t>
    </r>
  </si>
  <si>
    <r>
      <t xml:space="preserve">Costi comuni – </t>
    </r>
    <r>
      <rPr>
        <b/>
        <i/>
        <sz val="12"/>
        <color theme="1"/>
        <rFont val="Calibri"/>
        <family val="2"/>
        <scheme val="minor"/>
      </rPr>
      <t>CC</t>
    </r>
  </si>
  <si>
    <r>
      <t xml:space="preserve">                   Ammortamenti - </t>
    </r>
    <r>
      <rPr>
        <b/>
        <i/>
        <sz val="12"/>
        <color theme="1"/>
        <rFont val="Calibri"/>
        <family val="2"/>
        <scheme val="minor"/>
      </rPr>
      <t>Amm</t>
    </r>
  </si>
  <si>
    <r>
      <t xml:space="preserve">                  Accantonamenti - </t>
    </r>
    <r>
      <rPr>
        <b/>
        <i/>
        <sz val="12"/>
        <color theme="1"/>
        <rFont val="Calibri"/>
        <family val="2"/>
        <scheme val="minor"/>
      </rPr>
      <t>Acc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</si>
  <si>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</si>
  <si>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</si>
  <si>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</si>
  <si>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</si>
  <si>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 Remunerazione del capitale investito netto -</t>
    </r>
    <r>
      <rPr>
        <b/>
        <i/>
        <sz val="12"/>
        <color theme="1"/>
        <rFont val="Calibri"/>
        <family val="2"/>
        <scheme val="minor"/>
      </rPr>
      <t xml:space="preserve"> R</t>
    </r>
  </si>
  <si>
    <r>
      <t xml:space="preserve">               Remunerazione delle immobilizzazioni in corso - </t>
    </r>
    <r>
      <rPr>
        <b/>
        <i/>
        <sz val="12"/>
        <color theme="1"/>
        <rFont val="Calibri"/>
        <family val="2"/>
        <scheme val="minor"/>
      </rPr>
      <t>R</t>
    </r>
    <r>
      <rPr>
        <b/>
        <i/>
        <vertAlign val="subscript"/>
        <sz val="12"/>
        <color theme="1"/>
        <rFont val="Calibri"/>
        <family val="2"/>
        <scheme val="minor"/>
      </rPr>
      <t>lic</t>
    </r>
  </si>
  <si>
    <r>
      <t xml:space="preserve"> Costi d'uso del capitale </t>
    </r>
    <r>
      <rPr>
        <b/>
        <i/>
        <sz val="12"/>
        <color theme="1"/>
        <rFont val="Calibri"/>
        <family val="2"/>
        <scheme val="minor"/>
      </rPr>
      <t xml:space="preserve">- CK </t>
    </r>
  </si>
  <si>
    <r>
      <t xml:space="preserve">Costi operativi incentivanti fissi di cui all'articolo 8 del MTR –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</si>
  <si>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 xml:space="preserve">Componente a conguaglio relativa ai costi fissi </t>
    </r>
    <r>
      <rPr>
        <b/>
        <i/>
        <sz val="12"/>
        <color theme="1"/>
        <rFont val="Calibri"/>
        <family val="2"/>
        <scheme val="minor"/>
      </rPr>
      <t>–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</si>
  <si>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>Coefficiente di gradualità</t>
    </r>
    <r>
      <rPr>
        <b/>
        <i/>
        <sz val="12"/>
        <color theme="1"/>
        <rFont val="Calibri"/>
        <family val="2"/>
        <scheme val="minor"/>
      </rPr>
      <t xml:space="preserve"> (1+</t>
    </r>
    <r>
      <rPr>
        <b/>
        <i/>
        <sz val="12"/>
        <color theme="1"/>
        <rFont val="Calibri"/>
        <family val="2"/>
      </rPr>
      <t>ɣ</t>
    </r>
    <r>
      <rPr>
        <b/>
        <i/>
        <sz val="12"/>
        <color theme="1"/>
        <rFont val="Calibri"/>
        <family val="2"/>
        <scheme val="minor"/>
      </rPr>
      <t>)</t>
    </r>
  </si>
  <si>
    <r>
      <t xml:space="preserve">Rateizzazione </t>
    </r>
    <r>
      <rPr>
        <b/>
        <i/>
        <sz val="12"/>
        <color theme="1"/>
        <rFont val="Calibri"/>
        <family val="2"/>
        <scheme val="minor"/>
      </rPr>
      <t>r</t>
    </r>
  </si>
  <si>
    <r>
      <t>Componente a conguaglio relativa ai costi fissi</t>
    </r>
    <r>
      <rPr>
        <b/>
        <i/>
        <sz val="12"/>
        <color theme="1"/>
        <rFont val="Calibri"/>
        <family val="2"/>
        <scheme val="minor"/>
      </rPr>
      <t xml:space="preserve"> –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TF</t>
    </r>
    <r>
      <rPr>
        <b/>
        <i/>
        <sz val="12"/>
        <color theme="1"/>
        <rFont val="Calibri"/>
        <family val="2"/>
        <scheme val="minor"/>
      </rPr>
      <t>/r</t>
    </r>
  </si>
  <si>
    <r>
      <t>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totale delle entrate tariffarie relative alle componenti di costo fisse</t>
    </r>
  </si>
  <si>
    <t>Detrazioni di cui al comma 4.5 della Deliberazione 443/2019/R/RIF</t>
  </si>
  <si>
    <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= 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+ ∑TF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</si>
  <si>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t>Detrazioni di cui al comma 1.4 della Determina n. 2/DRIF/2020</t>
  </si>
  <si>
    <t>Componenti facoltative Deliberazione 238/2020/R/rif</t>
  </si>
  <si>
    <r>
      <t xml:space="preserve">Scostamento atteso dei costi variabili di cui all'articolo 7 bis del MTR– </t>
    </r>
    <r>
      <rPr>
        <b/>
        <i/>
        <sz val="12"/>
        <color theme="1"/>
        <rFont val="Calibri"/>
        <family val="2"/>
        <scheme val="minor"/>
      </rPr>
      <t>COV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</si>
  <si>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Oneri variabili per la tutela delle utenze domestiche di cui al comma 7 ter.1 del MTR– </t>
    </r>
    <r>
      <rPr>
        <b/>
        <i/>
        <sz val="12"/>
        <color theme="1"/>
        <rFont val="Calibri"/>
        <family val="2"/>
        <scheme val="minor"/>
      </rPr>
      <t>COS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</si>
  <si>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>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totale delle entrate tariffarie relative alle componenti di costo variabile (ex Deliberazione 238/2020/R/rif)</t>
    </r>
  </si>
  <si>
    <r>
      <t xml:space="preserve">Scostamento atteso dei costi variabili di cui all'articolo 7 bis del MTR– </t>
    </r>
    <r>
      <rPr>
        <b/>
        <i/>
        <sz val="12"/>
        <color theme="1"/>
        <rFont val="Calibri"/>
        <family val="2"/>
        <scheme val="minor"/>
      </rPr>
      <t>COV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</si>
  <si>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>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totale delle entrate tariffarie relative alle componenti di costo fisse  (ex Deliberazione 238/2020/R/rif)</t>
    </r>
  </si>
  <si>
    <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= 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+ 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 (ex Deliberazione 238/2020/R/rif al lordo della componente di rinvio RCND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i/>
        <sz val="12"/>
        <color theme="1"/>
        <rFont val="Calibri"/>
        <family val="2"/>
        <scheme val="minor"/>
      </rPr>
      <t>)</t>
    </r>
  </si>
  <si>
    <r>
      <t>Valorizzazione della componente di cui all'art. 7 ter.2 del MTR – RCND</t>
    </r>
    <r>
      <rPr>
        <b/>
        <i/>
        <vertAlign val="subscript"/>
        <sz val="11"/>
        <color rgb="FFC00000"/>
        <rFont val="Calibri"/>
        <family val="2"/>
        <scheme val="minor"/>
      </rPr>
      <t>TV</t>
    </r>
  </si>
  <si>
    <r>
      <t xml:space="preserve">Componente di rinvio di cui all'art. 7 ter.2 del MTR </t>
    </r>
    <r>
      <rPr>
        <b/>
        <i/>
        <sz val="12"/>
        <color theme="1"/>
        <rFont val="Calibri"/>
        <family val="2"/>
        <scheme val="minor"/>
      </rPr>
      <t>–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RCND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</si>
  <si>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= 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+ 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 al netto della componente di rinvio RCND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</si>
  <si>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t xml:space="preserve">Grandezze fisico-tecniche </t>
  </si>
  <si>
    <t>% rd</t>
  </si>
  <si>
    <r>
      <t>q</t>
    </r>
    <r>
      <rPr>
        <i/>
        <vertAlign val="subscript"/>
        <sz val="12"/>
        <color theme="1"/>
        <rFont val="Calibri"/>
        <family val="2"/>
        <scheme val="minor"/>
      </rPr>
      <t>a-2</t>
    </r>
  </si>
  <si>
    <t>costo unitario effettivo - Cueff  €cent/kg</t>
  </si>
  <si>
    <t>fabbisogno standard €cent/kg</t>
  </si>
  <si>
    <t xml:space="preserve">costo medio settore €cent/kg </t>
  </si>
  <si>
    <t>Coefficiente di gradualità</t>
  </si>
  <si>
    <r>
      <t xml:space="preserve">valutazione rispetto agli obiettivi di rd  -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1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</si>
  <si>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valutazione rispetto all' efficacia dell' attività di preparazione per il riutilizzo e riciclo  -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2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</si>
  <si>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valutazione rispetto alla soddisfazione degli utenti del servizio  -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</si>
  <si>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Totale </t>
    </r>
    <r>
      <rPr>
        <b/>
        <i/>
        <sz val="12"/>
        <color theme="1"/>
        <rFont val="Symbol"/>
        <family val="1"/>
        <charset val="2"/>
      </rPr>
      <t>g</t>
    </r>
  </si>
  <si>
    <r>
      <t xml:space="preserve">Coefficiente di gradualità </t>
    </r>
    <r>
      <rPr>
        <b/>
        <i/>
        <sz val="12"/>
        <color theme="1"/>
        <rFont val="Arial"/>
        <family val="2"/>
      </rPr>
      <t>(1+</t>
    </r>
    <r>
      <rPr>
        <b/>
        <i/>
        <sz val="12"/>
        <color theme="1"/>
        <rFont val="Symbol"/>
        <family val="1"/>
        <charset val="2"/>
      </rPr>
      <t>g</t>
    </r>
    <r>
      <rPr>
        <b/>
        <i/>
        <sz val="12"/>
        <color theme="1"/>
        <rFont val="Arial"/>
        <family val="2"/>
      </rPr>
      <t>)</t>
    </r>
  </si>
  <si>
    <t>Verifica del limite di crescita</t>
  </si>
  <si>
    <r>
      <t>rpi</t>
    </r>
    <r>
      <rPr>
        <i/>
        <vertAlign val="subscript"/>
        <sz val="12"/>
        <color theme="1"/>
        <rFont val="Calibri"/>
        <family val="2"/>
        <scheme val="minor"/>
      </rPr>
      <t>a</t>
    </r>
  </si>
  <si>
    <t>MTR</t>
  </si>
  <si>
    <r>
      <t xml:space="preserve">coefficiente di recupero di produttività - </t>
    </r>
    <r>
      <rPr>
        <b/>
        <i/>
        <sz val="12"/>
        <color theme="1"/>
        <rFont val="Calibri"/>
        <family val="2"/>
        <scheme val="minor"/>
      </rPr>
      <t>X</t>
    </r>
    <r>
      <rPr>
        <i/>
        <vertAlign val="subscript"/>
        <sz val="12"/>
        <color theme="1"/>
        <rFont val="Calibri"/>
        <family val="2"/>
        <scheme val="minor"/>
      </rPr>
      <t>a</t>
    </r>
    <r>
      <rPr>
        <i/>
        <sz val="12"/>
        <color theme="1"/>
        <rFont val="Calibri"/>
        <family val="2"/>
        <scheme val="minor"/>
      </rPr>
      <t xml:space="preserve"> </t>
    </r>
  </si>
  <si>
    <r>
      <t>coeff. per il miglioramento previsto della qualità -</t>
    </r>
    <r>
      <rPr>
        <b/>
        <i/>
        <sz val="12"/>
        <color theme="1"/>
        <rFont val="Calibri"/>
        <family val="2"/>
        <scheme val="minor"/>
      </rPr>
      <t xml:space="preserve"> QL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</si>
  <si>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t xml:space="preserve">coeff. per la valorizzazione di modifiche del perimetro gestionale  - </t>
    </r>
    <r>
      <rPr>
        <b/>
        <i/>
        <sz val="12"/>
        <color theme="1"/>
        <rFont val="Calibri"/>
        <family val="2"/>
        <scheme val="minor"/>
      </rPr>
      <t>PG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</si>
  <si>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coeff. per l'emergenza COVID-19 - </t>
    </r>
    <r>
      <rPr>
        <b/>
        <i/>
        <sz val="12"/>
        <color theme="1"/>
        <rFont val="Calibri"/>
        <family val="2"/>
        <scheme val="minor"/>
      </rPr>
      <t>C19</t>
    </r>
    <r>
      <rPr>
        <b/>
        <i/>
        <vertAlign val="subscript"/>
        <sz val="12"/>
        <color theme="1"/>
        <rFont val="Calibri"/>
        <family val="2"/>
        <scheme val="minor"/>
      </rPr>
      <t>2020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</si>
  <si>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Parametro per la determinazione del limite alla crescita delle tariffe - </t>
    </r>
    <r>
      <rPr>
        <b/>
        <i/>
        <sz val="12"/>
        <color theme="1"/>
        <rFont val="Symbol"/>
        <family val="1"/>
        <charset val="2"/>
      </rPr>
      <t>r</t>
    </r>
  </si>
  <si>
    <r>
      <t>(1+</t>
    </r>
    <r>
      <rPr>
        <b/>
        <i/>
        <sz val="12"/>
        <color theme="1"/>
        <rFont val="Symbol"/>
        <family val="1"/>
        <charset val="2"/>
      </rPr>
      <t>r</t>
    </r>
    <r>
      <rPr>
        <b/>
        <i/>
        <sz val="12"/>
        <color theme="1"/>
        <rFont val="Calibri"/>
        <family val="2"/>
        <scheme val="minor"/>
      </rPr>
      <t>)</t>
    </r>
  </si>
  <si>
    <r>
      <t xml:space="preserve"> ∑T</t>
    </r>
    <r>
      <rPr>
        <i/>
        <vertAlign val="subscript"/>
        <sz val="12"/>
        <color theme="1"/>
        <rFont val="Calibri"/>
        <family val="2"/>
        <scheme val="minor"/>
      </rPr>
      <t>a</t>
    </r>
  </si>
  <si>
    <r>
      <t xml:space="preserve"> ∑TV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</si>
  <si>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∑TF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</si>
  <si>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∑T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</si>
  <si>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/ ∑T</t>
    </r>
    <r>
      <rPr>
        <b/>
        <i/>
        <vertAlign val="subscript"/>
        <sz val="12"/>
        <color theme="1"/>
        <rFont val="Calibri"/>
        <family val="2"/>
        <scheme val="minor"/>
      </rPr>
      <t>a-1</t>
    </r>
  </si>
  <si>
    <t>∑Tmax  (entrate tariffarie massime applicabili nel rispetto del limite di crescita)</t>
  </si>
  <si>
    <t>delta ( ∑Ta-∑Tmax)</t>
  </si>
  <si>
    <t>Riclassificazione dei costi fissi e variabili per il rispetto condizione art. 3 MTR</t>
  </si>
  <si>
    <r>
      <t xml:space="preserve">riclassifica </t>
    </r>
    <r>
      <rPr>
        <b/>
        <i/>
        <sz val="12"/>
        <color theme="1"/>
        <rFont val="Calibri"/>
        <family val="2"/>
        <scheme val="minor"/>
      </rPr>
      <t>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</si>
  <si>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t>riclassifica</t>
    </r>
    <r>
      <rPr>
        <b/>
        <i/>
        <sz val="12"/>
        <color theme="1"/>
        <rFont val="Calibri"/>
        <family val="2"/>
        <scheme val="minor"/>
      </rPr>
      <t xml:space="preserve"> TF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</si>
  <si>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t xml:space="preserve">Attività esterne Ciclo integrato RU </t>
  </si>
  <si>
    <t>incremento % 2020 su 2019</t>
  </si>
  <si>
    <t>Ambito tariffario/Comune di Annone Veneto</t>
  </si>
  <si>
    <t>Ciclo integrato
 RU</t>
  </si>
  <si>
    <t>Costi 
del Comune/i</t>
  </si>
  <si>
    <t>TOT PEF</t>
  </si>
  <si>
    <t xml:space="preserve">       PEF 2020</t>
  </si>
  <si>
    <t xml:space="preserve"> Appendice 1 al MTR (versione integrata con la Deliberazione 238/2020/R/rif)</t>
  </si>
  <si>
    <t>Ambito tariffario/Comune di Cinto Caomaggiore</t>
  </si>
  <si>
    <t>Ambito tariffario/Comune di Concordia Sagittaria</t>
  </si>
  <si>
    <t>Ambito tariffario/Comune di Fossalta di Portogruaro</t>
  </si>
  <si>
    <t>Ambito tariffario/Comune di Gruaro</t>
  </si>
  <si>
    <t>Ambito tariffario/Comune di  Portogruaro</t>
  </si>
  <si>
    <t>Ciclo integrato
 RUCiclo integrato
 RU</t>
  </si>
  <si>
    <t>Costi
del Comune/iCosti
del Comune/i</t>
  </si>
  <si>
    <t>Ambito tariffario/Comune di Pramaggiore</t>
  </si>
  <si>
    <t>Ambito tariffario/Comune di San Michele al Tagliamento</t>
  </si>
  <si>
    <t>Ambito tariffario/Comune di San Stino di Livenza</t>
  </si>
  <si>
    <t>Ambito tariffario/Comune di Teglio Veneto</t>
  </si>
  <si>
    <t>Appendice 1 al MTR (versione integrata con la Deliberazione 238/2020/R/rif)</t>
  </si>
  <si>
    <t>Ambito tariffario/Comune di Caorle</t>
  </si>
  <si>
    <t>ASVO TOTALE</t>
  </si>
  <si>
    <r>
      <t>RC</t>
    </r>
    <r>
      <rPr>
        <b/>
        <vertAlign val="subscript"/>
        <sz val="10"/>
        <color rgb="FF000000"/>
        <rFont val="Verdana"/>
        <family val="2"/>
      </rPr>
      <t>TV</t>
    </r>
  </si>
  <si>
    <r>
      <t>RC</t>
    </r>
    <r>
      <rPr>
        <b/>
        <vertAlign val="subscript"/>
        <sz val="10"/>
        <color rgb="FF000000"/>
        <rFont val="Verdana"/>
        <family val="2"/>
      </rPr>
      <t>TF</t>
    </r>
  </si>
  <si>
    <r>
      <t>RCND</t>
    </r>
    <r>
      <rPr>
        <b/>
        <vertAlign val="subscript"/>
        <sz val="10"/>
        <color rgb="FF000000"/>
        <rFont val="Verdana"/>
        <family val="2"/>
      </rPr>
      <t>TV</t>
    </r>
  </si>
  <si>
    <r>
      <t>RCU</t>
    </r>
    <r>
      <rPr>
        <b/>
        <vertAlign val="subscript"/>
        <sz val="10"/>
        <color rgb="FF000000"/>
        <rFont val="Verdana"/>
        <family val="2"/>
      </rPr>
      <t>TV</t>
    </r>
  </si>
  <si>
    <r>
      <t>RCU</t>
    </r>
    <r>
      <rPr>
        <b/>
        <vertAlign val="subscript"/>
        <sz val="10"/>
        <color rgb="FF000000"/>
        <rFont val="Verdana"/>
        <family val="2"/>
      </rPr>
      <t>TF</t>
    </r>
  </si>
  <si>
    <t>TV</t>
  </si>
  <si>
    <t>TF</t>
  </si>
  <si>
    <t>TOTALE</t>
  </si>
  <si>
    <t>COMPONENTI PEF 2020</t>
  </si>
  <si>
    <r>
      <t xml:space="preserve"> ∑Tv</t>
    </r>
    <r>
      <rPr>
        <b/>
        <vertAlign val="sub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/ ∑Tv</t>
    </r>
    <r>
      <rPr>
        <b/>
        <vertAlign val="subscript"/>
        <sz val="10"/>
        <color theme="1"/>
        <rFont val="Arial"/>
        <family val="2"/>
      </rPr>
      <t>a-1 (art.3 MTR)</t>
    </r>
  </si>
  <si>
    <t>COMPONENTI DI RINVIO ANNUE 2021-2022-2023 (artt. 2.2bis , 2.2 ter, 2.3 ter)</t>
  </si>
  <si>
    <t>con r' = 3</t>
  </si>
  <si>
    <t>Totale conguaglio 2020</t>
  </si>
  <si>
    <t>1/3 conguaglio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</si>
</sst>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&quot;-&quot;??_-;_-@_-"/>
    <numFmt numFmtId="166" formatCode="#,##0.00\ &quot;€&quot;"/>
    <numFmt numFmtId="167" formatCode="_-* #,##0\ _€_-;\-* #,##0\ _€_-;_-* &quot;-&quot;??\ _€_-;_-@_-"/>
    <numFmt numFmtId="168" formatCode="_-* #,##0.00\ _€_-;\-* #,##0.00\ _€_-;_-* &quot;-&quot;??\ _€_-;_-@_-"/>
    <numFmt numFmtId="169" formatCode="_-* #,##0.000_-;\-* #,##0.000_-;_-* &quot;-&quot;??_-;_-@_-"/>
    <numFmt numFmtId="170" formatCode="_-* #,##0.0000\ _€_-;\-* #,##0.0000\ _€_-;_-* &quot;-&quot;??\ _€_-;_-@_-"/>
    <numFmt numFmtId="171" formatCode="0.0%"/>
    <numFmt numFmtId="172" formatCode="_-* #,##0_-;\-* #,##0_-;_-* \-??_-;_-@_-"/>
    <numFmt numFmtId="173" formatCode="0.0000"/>
    <numFmt numFmtId="174" formatCode="#,##0.00&quot; €&quot;"/>
    <numFmt numFmtId="175" formatCode="_-* #,##0\ _€_-;\-* #,##0\ _€_-;_-* \-??\ _€_-;_-@_-"/>
    <numFmt numFmtId="176" formatCode="_-* #,##0.00\ _€_-;\-* #,##0.00\ _€_-;_-* \-??\ _€_-;_-@_-"/>
    <numFmt numFmtId="177" formatCode="_-* #,##0.000_-;\-* #,##0.000_-;_-* \-??_-;_-@_-"/>
    <numFmt numFmtId="178" formatCode="_-* #,##0.0000\ _€_-;\-* #,##0.0000\ _€_-;_-* \-??\ _€_-;_-@_-"/>
    <numFmt numFmtId="179" formatCode="0.000"/>
    <numFmt numFmtId="180" formatCode="[$-410]General"/>
    <numFmt numFmtId="181" formatCode="&quot; &quot;#,##0.00&quot; &quot;;&quot;-&quot;#,##0.00&quot; &quot;;&quot; -&quot;#&quot; &quot;;&quot; &quot;@&quot; &quot;"/>
    <numFmt numFmtId="182" formatCode="&quot; &quot;#,##0.00&quot; € &quot;;&quot;-&quot;#,##0.00&quot; € &quot;;&quot; -&quot;#&quot; € &quot;;&quot; &quot;@&quot; &quot;"/>
    <numFmt numFmtId="183" formatCode="&quot; &quot;#,##0&quot; &quot;;&quot;-&quot;#,##0&quot; &quot;;&quot; -&quot;#&quot; &quot;;&quot; &quot;@&quot; &quot;"/>
    <numFmt numFmtId="184" formatCode="&quot; &quot;#,##0&quot;    &quot;;&quot;-&quot;#,##0&quot;    &quot;;&quot; -&quot;#&quot;    &quot;;&quot; &quot;@&quot; &quot;"/>
    <numFmt numFmtId="185" formatCode="[$-410]0%"/>
    <numFmt numFmtId="186" formatCode="&quot; &quot;#,##0.00&quot;    &quot;;&quot;-&quot;#,##0.00&quot;    &quot;;&quot; -&quot;#&quot;    &quot;;&quot; &quot;@&quot; &quot;"/>
    <numFmt numFmtId="187" formatCode="&quot; &quot;#,##0.000&quot; &quot;;&quot;-&quot;#,##0.000&quot; &quot;;&quot; -&quot;#&quot; &quot;;&quot; &quot;@&quot; &quot;"/>
    <numFmt numFmtId="188" formatCode="&quot; &quot;#,##0.0000&quot;    &quot;;&quot;-&quot;#,##0.0000&quot;    &quot;;&quot; -&quot;#&quot;    &quot;;&quot; &quot;@&quot; &quot;"/>
    <numFmt numFmtId="189" formatCode="[$-410]0.00%"/>
    <numFmt numFmtId="190" formatCode="_-* #,##0\ &quot;€&quot;_-;\-* #,##0\ &quot;€&quot;_-;_-* &quot;-&quot;??\ &quot;€&quot;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name val="Calibri"/>
      <family val="2"/>
      <charset val="1"/>
    </font>
    <font>
      <sz val="16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vertAlign val="subscript"/>
      <sz val="11"/>
      <color rgb="FFC00000"/>
      <name val="Calibri"/>
      <family val="2"/>
      <scheme val="minor"/>
    </font>
    <font>
      <b/>
      <sz val="12"/>
      <color rgb="FFC00000"/>
      <name val="Calibri"/>
      <family val="2"/>
      <charset val="1"/>
    </font>
    <font>
      <i/>
      <vertAlign val="subscript"/>
      <sz val="12"/>
      <color theme="1"/>
      <name val="Calibri"/>
      <family val="2"/>
      <scheme val="minor"/>
    </font>
    <font>
      <b/>
      <i/>
      <sz val="12"/>
      <color theme="1"/>
      <name val="Symbol"/>
      <family val="1"/>
      <charset val="2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</font>
    <font>
      <b/>
      <sz val="12"/>
      <color rgb="FF222A35"/>
      <name val="Calibri"/>
      <family val="2"/>
      <charset val="1"/>
    </font>
    <font>
      <sz val="12"/>
      <color rgb="FF222A35"/>
      <name val="Calibri"/>
      <family val="2"/>
      <charset val="1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C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  <charset val="1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1"/>
      <color indexed="6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Arial"/>
      <family val="2"/>
    </font>
    <font>
      <b/>
      <sz val="11"/>
      <color rgb="FFC00000"/>
      <name val="Calibri"/>
      <family val="2"/>
    </font>
    <font>
      <sz val="14"/>
      <name val="Calibri"/>
      <family val="2"/>
      <charset val="1"/>
    </font>
    <font>
      <b/>
      <sz val="10"/>
      <color rgb="FF000000"/>
      <name val="Verdana"/>
      <family val="2"/>
    </font>
    <font>
      <b/>
      <vertAlign val="subscript"/>
      <sz val="10"/>
      <color rgb="FF000000"/>
      <name val="Verdana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rgb="FFF2F2F2"/>
      </patternFill>
    </fill>
    <fill>
      <patternFill patternType="solid">
        <fgColor rgb="FF02A78C"/>
        <bgColor indexed="64"/>
      </patternFill>
    </fill>
    <fill>
      <patternFill patternType="solid">
        <fgColor rgb="FF02A78C"/>
        <bgColor rgb="FF00808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5D6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E2F0D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rgb="FFFF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7E7"/>
        <bgColor rgb="FF99CCFF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0CECE"/>
        <bgColor rgb="FFE0E0E0"/>
      </patternFill>
    </fill>
    <fill>
      <patternFill patternType="solid">
        <fgColor rgb="FFE0E0E0"/>
        <bgColor rgb="FFE2F0D9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1"/>
        <bgColor indexed="64"/>
      </patternFill>
    </fill>
    <fill>
      <patternFill patternType="gray125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E2F0D9"/>
        <bgColor rgb="FFE2F0D9"/>
      </patternFill>
    </fill>
    <fill>
      <patternFill patternType="solid">
        <fgColor rgb="FF02A78C"/>
        <bgColor rgb="FF02A78C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ED7D31"/>
      </patternFill>
    </fill>
    <fill>
      <patternFill patternType="solid">
        <fgColor rgb="FFDFDFE0"/>
        <bgColor rgb="FFDFDFE0"/>
      </patternFill>
    </fill>
    <fill>
      <patternFill patternType="solid">
        <fgColor rgb="FFFBE5D6"/>
        <bgColor rgb="FFFBE5D6"/>
      </patternFill>
    </fill>
    <fill>
      <patternFill patternType="solid">
        <fgColor theme="5"/>
        <bgColor rgb="FFF2F2F2"/>
      </patternFill>
    </fill>
    <fill>
      <patternFill patternType="gray125"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7" fillId="0" borderId="0"/>
    <xf numFmtId="181" fontId="57" fillId="0" borderId="0"/>
    <xf numFmtId="185" fontId="57" fillId="0" borderId="0"/>
    <xf numFmtId="182" fontId="57" fillId="0" borderId="0"/>
  </cellStyleXfs>
  <cellXfs count="523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3" borderId="8" xfId="0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3" borderId="11" xfId="0" quotePrefix="1" applyFont="1" applyFill="1" applyBorder="1" applyAlignment="1">
      <alignment vertical="center"/>
    </xf>
    <xf numFmtId="0" fontId="6" fillId="0" borderId="0" xfId="0" applyFont="1"/>
    <xf numFmtId="0" fontId="10" fillId="5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4" fillId="3" borderId="8" xfId="0" applyFont="1" applyFill="1" applyBorder="1" applyProtection="1">
      <protection locked="0"/>
    </xf>
    <xf numFmtId="0" fontId="15" fillId="3" borderId="8" xfId="0" applyFont="1" applyFill="1" applyBorder="1" applyProtection="1">
      <protection locked="0"/>
    </xf>
    <xf numFmtId="0" fontId="9" fillId="3" borderId="19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7" fillId="2" borderId="0" xfId="0" applyFont="1" applyFill="1" applyAlignment="1" applyProtection="1">
      <alignment horizont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9" fillId="7" borderId="20" xfId="0" applyFont="1" applyFill="1" applyBorder="1"/>
    <xf numFmtId="0" fontId="7" fillId="8" borderId="21" xfId="0" applyFont="1" applyFill="1" applyBorder="1" applyAlignment="1">
      <alignment horizontal="center"/>
    </xf>
    <xf numFmtId="0" fontId="9" fillId="5" borderId="6" xfId="0" applyFont="1" applyFill="1" applyBorder="1" applyAlignment="1">
      <alignment vertical="center"/>
    </xf>
    <xf numFmtId="0" fontId="7" fillId="6" borderId="16" xfId="0" applyFont="1" applyFill="1" applyBorder="1" applyAlignment="1">
      <alignment horizontal="center"/>
    </xf>
    <xf numFmtId="0" fontId="9" fillId="9" borderId="6" xfId="0" applyFont="1" applyFill="1" applyBorder="1" applyAlignment="1">
      <alignment vertical="center"/>
    </xf>
    <xf numFmtId="0" fontId="7" fillId="10" borderId="5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9" fillId="3" borderId="8" xfId="0" applyFont="1" applyFill="1" applyBorder="1"/>
    <xf numFmtId="0" fontId="7" fillId="2" borderId="0" xfId="0" applyFont="1" applyFill="1" applyAlignment="1">
      <alignment horizontal="center"/>
    </xf>
    <xf numFmtId="0" fontId="10" fillId="11" borderId="22" xfId="0" applyFont="1" applyFill="1" applyBorder="1" applyAlignment="1">
      <alignment vertical="center"/>
    </xf>
    <xf numFmtId="0" fontId="7" fillId="12" borderId="23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vertical="center"/>
    </xf>
    <xf numFmtId="0" fontId="7" fillId="12" borderId="25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0" fontId="9" fillId="3" borderId="0" xfId="0" applyFont="1" applyFill="1"/>
    <xf numFmtId="0" fontId="20" fillId="13" borderId="26" xfId="0" applyFont="1" applyFill="1" applyBorder="1" applyAlignment="1">
      <alignment vertical="center"/>
    </xf>
    <xf numFmtId="0" fontId="21" fillId="14" borderId="2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164" fontId="0" fillId="2" borderId="5" xfId="1" applyNumberFormat="1" applyFont="1" applyFill="1" applyBorder="1" applyAlignment="1" applyProtection="1">
      <alignment horizontal="center" vertical="center"/>
      <protection locked="0"/>
    </xf>
    <xf numFmtId="165" fontId="1" fillId="3" borderId="5" xfId="1" applyNumberFormat="1" applyFont="1" applyFill="1" applyBorder="1" applyAlignment="1" applyProtection="1">
      <alignment horizontal="center" vertical="center"/>
      <protection locked="0"/>
    </xf>
    <xf numFmtId="165" fontId="1" fillId="15" borderId="5" xfId="1" applyNumberFormat="1" applyFont="1" applyFill="1" applyBorder="1" applyAlignment="1" applyProtection="1">
      <alignment horizontal="center" vertical="center"/>
      <protection locked="0"/>
    </xf>
    <xf numFmtId="166" fontId="0" fillId="2" borderId="5" xfId="1" applyNumberFormat="1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2" fillId="5" borderId="18" xfId="1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30" xfId="1" applyNumberFormat="1" applyFont="1" applyFill="1" applyBorder="1" applyAlignment="1" applyProtection="1">
      <alignment horizontal="center"/>
      <protection locked="0"/>
    </xf>
    <xf numFmtId="165" fontId="1" fillId="3" borderId="2" xfId="1" applyNumberFormat="1" applyFont="1" applyFill="1" applyBorder="1" applyAlignment="1" applyProtection="1">
      <alignment horizontal="center" vertical="center"/>
      <protection locked="0"/>
    </xf>
    <xf numFmtId="165" fontId="1" fillId="15" borderId="31" xfId="1" applyNumberFormat="1" applyFont="1" applyFill="1" applyBorder="1" applyAlignment="1" applyProtection="1">
      <alignment horizontal="center" vertical="center"/>
      <protection locked="0"/>
    </xf>
    <xf numFmtId="165" fontId="1" fillId="15" borderId="32" xfId="1" applyNumberFormat="1" applyFont="1" applyFill="1" applyBorder="1" applyAlignment="1" applyProtection="1">
      <alignment horizontal="center" vertical="center"/>
      <protection locked="0"/>
    </xf>
    <xf numFmtId="165" fontId="1" fillId="3" borderId="12" xfId="1" applyNumberFormat="1" applyFont="1" applyFill="1" applyBorder="1" applyAlignment="1" applyProtection="1">
      <alignment horizontal="center" vertical="center"/>
      <protection locked="0"/>
    </xf>
    <xf numFmtId="165" fontId="1" fillId="15" borderId="33" xfId="1" applyNumberFormat="1" applyFont="1" applyFill="1" applyBorder="1" applyAlignment="1" applyProtection="1">
      <alignment horizontal="center" vertical="center"/>
      <protection locked="0"/>
    </xf>
    <xf numFmtId="165" fontId="1" fillId="15" borderId="34" xfId="1" applyNumberFormat="1" applyFont="1" applyFill="1" applyBorder="1" applyAlignment="1" applyProtection="1">
      <alignment horizontal="center" vertical="center"/>
      <protection locked="0"/>
    </xf>
    <xf numFmtId="165" fontId="1" fillId="15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16" xfId="1" applyNumberFormat="1" applyFont="1" applyFill="1" applyBorder="1" applyAlignment="1" applyProtection="1">
      <alignment horizontal="center" vertical="center"/>
      <protection locked="0"/>
    </xf>
    <xf numFmtId="165" fontId="1" fillId="15" borderId="12" xfId="1" applyNumberFormat="1" applyFont="1" applyFill="1" applyBorder="1" applyAlignment="1" applyProtection="1">
      <alignment horizontal="center" vertical="center"/>
      <protection locked="0"/>
    </xf>
    <xf numFmtId="165" fontId="1" fillId="3" borderId="3" xfId="1" applyNumberFormat="1" applyFont="1" applyFill="1" applyBorder="1" applyAlignment="1" applyProtection="1">
      <alignment horizontal="center" vertical="center"/>
      <protection locked="0"/>
    </xf>
    <xf numFmtId="165" fontId="1" fillId="15" borderId="36" xfId="1" applyNumberFormat="1" applyFont="1" applyFill="1" applyBorder="1" applyAlignment="1" applyProtection="1">
      <alignment horizontal="center" vertical="center"/>
      <protection locked="0"/>
    </xf>
    <xf numFmtId="165" fontId="2" fillId="5" borderId="3" xfId="1" applyNumberFormat="1" applyFont="1" applyFill="1" applyBorder="1" applyAlignment="1" applyProtection="1">
      <alignment horizontal="center" vertical="center"/>
      <protection locked="0"/>
    </xf>
    <xf numFmtId="165" fontId="2" fillId="5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37" xfId="1" applyNumberFormat="1" applyFont="1" applyFill="1" applyBorder="1" applyAlignment="1" applyProtection="1">
      <alignment horizontal="center" vertical="center"/>
      <protection locked="0"/>
    </xf>
    <xf numFmtId="165" fontId="1" fillId="15" borderId="38" xfId="1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>
      <alignment horizontal="center" vertical="center"/>
    </xf>
    <xf numFmtId="0" fontId="30" fillId="3" borderId="30" xfId="0" applyFont="1" applyFill="1" applyBorder="1"/>
    <xf numFmtId="0" fontId="31" fillId="3" borderId="0" xfId="0" applyFont="1" applyFill="1" applyAlignment="1" applyProtection="1">
      <alignment horizontal="center"/>
      <protection locked="0"/>
    </xf>
    <xf numFmtId="0" fontId="31" fillId="3" borderId="30" xfId="0" applyFont="1" applyFill="1" applyBorder="1" applyAlignment="1" applyProtection="1">
      <alignment horizontal="center"/>
      <protection locked="0"/>
    </xf>
    <xf numFmtId="0" fontId="32" fillId="3" borderId="0" xfId="0" applyFont="1" applyFill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0" fillId="16" borderId="26" xfId="0" applyFill="1" applyBorder="1" applyAlignment="1" applyProtection="1">
      <alignment horizontal="center" vertical="center"/>
      <protection locked="0"/>
    </xf>
    <xf numFmtId="0" fontId="0" fillId="16" borderId="27" xfId="0" applyFill="1" applyBorder="1" applyAlignment="1" applyProtection="1">
      <alignment horizontal="center" vertical="center"/>
      <protection locked="0"/>
    </xf>
    <xf numFmtId="167" fontId="1" fillId="3" borderId="40" xfId="1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9" fontId="1" fillId="0" borderId="39" xfId="2" applyFont="1" applyBorder="1" applyAlignment="1" applyProtection="1">
      <alignment horizontal="center" vertical="center"/>
      <protection locked="0"/>
    </xf>
    <xf numFmtId="0" fontId="0" fillId="16" borderId="25" xfId="0" applyFill="1" applyBorder="1" applyAlignment="1">
      <alignment horizontal="center" vertical="center"/>
    </xf>
    <xf numFmtId="165" fontId="2" fillId="5" borderId="42" xfId="1" applyNumberFormat="1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>
      <alignment horizontal="center" vertical="center"/>
    </xf>
    <xf numFmtId="0" fontId="30" fillId="3" borderId="29" xfId="0" applyFont="1" applyFill="1" applyBorder="1"/>
    <xf numFmtId="0" fontId="0" fillId="16" borderId="22" xfId="0" applyFill="1" applyBorder="1" applyAlignment="1" applyProtection="1">
      <alignment horizontal="center" vertical="center"/>
      <protection locked="0"/>
    </xf>
    <xf numFmtId="0" fontId="0" fillId="16" borderId="23" xfId="0" applyFill="1" applyBorder="1" applyAlignment="1" applyProtection="1">
      <alignment horizontal="center" vertical="center"/>
      <protection locked="0"/>
    </xf>
    <xf numFmtId="9" fontId="1" fillId="3" borderId="43" xfId="2" applyFont="1" applyFill="1" applyBorder="1" applyAlignment="1" applyProtection="1">
      <alignment horizontal="center" vertical="center"/>
      <protection locked="0"/>
    </xf>
    <xf numFmtId="167" fontId="29" fillId="3" borderId="44" xfId="1" applyNumberFormat="1" applyFont="1" applyFill="1" applyBorder="1" applyAlignment="1" applyProtection="1">
      <alignment horizontal="center" vertical="center"/>
      <protection locked="0"/>
    </xf>
    <xf numFmtId="167" fontId="29" fillId="3" borderId="45" xfId="1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68" fontId="29" fillId="3" borderId="6" xfId="1" applyNumberFormat="1" applyFont="1" applyFill="1" applyBorder="1" applyAlignment="1" applyProtection="1">
      <alignment horizontal="center" vertical="center"/>
      <protection locked="0"/>
    </xf>
    <xf numFmtId="168" fontId="29" fillId="3" borderId="47" xfId="1" applyNumberFormat="1" applyFont="1" applyFill="1" applyBorder="1" applyAlignment="1" applyProtection="1">
      <alignment horizontal="center" vertical="center"/>
      <protection locked="0"/>
    </xf>
    <xf numFmtId="0" fontId="0" fillId="16" borderId="44" xfId="0" applyFill="1" applyBorder="1" applyAlignment="1" applyProtection="1">
      <alignment horizontal="center" vertical="center"/>
      <protection locked="0"/>
    </xf>
    <xf numFmtId="0" fontId="0" fillId="16" borderId="47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16" borderId="24" xfId="0" applyFill="1" applyBorder="1" applyAlignment="1" applyProtection="1">
      <alignment horizontal="center" vertical="center"/>
      <protection locked="0"/>
    </xf>
    <xf numFmtId="0" fontId="0" fillId="16" borderId="25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 applyProtection="1">
      <alignment horizontal="center" vertical="center"/>
      <protection locked="0"/>
    </xf>
    <xf numFmtId="0" fontId="33" fillId="3" borderId="23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9" fillId="3" borderId="44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2" fillId="5" borderId="49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169" fontId="2" fillId="5" borderId="51" xfId="1" applyNumberFormat="1" applyFont="1" applyFill="1" applyBorder="1" applyAlignment="1" applyProtection="1">
      <alignment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170" fontId="2" fillId="5" borderId="40" xfId="1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/>
      <protection locked="0"/>
    </xf>
    <xf numFmtId="0" fontId="0" fillId="16" borderId="52" xfId="0" applyFill="1" applyBorder="1" applyAlignment="1">
      <alignment horizontal="center" vertical="center"/>
    </xf>
    <xf numFmtId="171" fontId="1" fillId="7" borderId="43" xfId="2" applyNumberFormat="1" applyFont="1" applyFill="1" applyBorder="1" applyAlignment="1">
      <alignment horizontal="center"/>
    </xf>
    <xf numFmtId="10" fontId="1" fillId="3" borderId="46" xfId="0" applyNumberFormat="1" applyFont="1" applyFill="1" applyBorder="1" applyAlignment="1" applyProtection="1">
      <alignment horizontal="center" vertical="center"/>
      <protection locked="0"/>
    </xf>
    <xf numFmtId="0" fontId="0" fillId="16" borderId="5" xfId="0" applyFill="1" applyBorder="1" applyAlignment="1">
      <alignment horizontal="center" vertical="center"/>
    </xf>
    <xf numFmtId="171" fontId="2" fillId="5" borderId="46" xfId="2" applyNumberFormat="1" applyFont="1" applyFill="1" applyBorder="1" applyAlignment="1" applyProtection="1">
      <alignment horizontal="center" vertical="center"/>
      <protection locked="0"/>
    </xf>
    <xf numFmtId="169" fontId="2" fillId="5" borderId="46" xfId="1" applyNumberFormat="1" applyFont="1" applyFill="1" applyBorder="1" applyAlignment="1" applyProtection="1">
      <alignment vertical="center"/>
      <protection locked="0"/>
    </xf>
    <xf numFmtId="167" fontId="0" fillId="3" borderId="46" xfId="1" applyNumberFormat="1" applyFont="1" applyFill="1" applyBorder="1" applyAlignment="1" applyProtection="1">
      <alignment horizontal="center" vertical="center"/>
      <protection locked="0"/>
    </xf>
    <xf numFmtId="0" fontId="0" fillId="16" borderId="18" xfId="0" applyFill="1" applyBorder="1" applyAlignment="1">
      <alignment horizontal="center" vertical="center"/>
    </xf>
    <xf numFmtId="170" fontId="2" fillId="5" borderId="48" xfId="1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>
      <alignment horizontal="center"/>
    </xf>
    <xf numFmtId="0" fontId="30" fillId="3" borderId="30" xfId="0" applyFont="1" applyFill="1" applyBorder="1" applyAlignment="1">
      <alignment horizontal="center"/>
    </xf>
    <xf numFmtId="0" fontId="0" fillId="16" borderId="23" xfId="0" applyFill="1" applyBorder="1" applyAlignment="1">
      <alignment horizontal="center" vertical="center"/>
    </xf>
    <xf numFmtId="165" fontId="1" fillId="15" borderId="43" xfId="1" applyNumberFormat="1" applyFont="1" applyFill="1" applyBorder="1" applyAlignment="1" applyProtection="1">
      <alignment horizontal="center" vertical="center"/>
      <protection locked="0"/>
    </xf>
    <xf numFmtId="165" fontId="1" fillId="15" borderId="48" xfId="1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/>
    <xf numFmtId="0" fontId="30" fillId="3" borderId="30" xfId="0" applyFont="1" applyFill="1" applyBorder="1" applyProtection="1">
      <protection locked="0"/>
    </xf>
    <xf numFmtId="167" fontId="0" fillId="3" borderId="43" xfId="1" applyNumberFormat="1" applyFont="1" applyFill="1" applyBorder="1" applyAlignment="1" applyProtection="1">
      <alignment horizontal="center" vertical="center"/>
      <protection locked="0"/>
    </xf>
    <xf numFmtId="167" fontId="0" fillId="3" borderId="48" xfId="1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Protection="1">
      <protection locked="0"/>
    </xf>
    <xf numFmtId="165" fontId="1" fillId="0" borderId="53" xfId="1" applyNumberFormat="1" applyFont="1" applyBorder="1" applyAlignment="1" applyProtection="1">
      <alignment horizontal="center" vertical="center"/>
      <protection locked="0"/>
    </xf>
    <xf numFmtId="165" fontId="1" fillId="15" borderId="39" xfId="1" applyNumberFormat="1" applyFont="1" applyFill="1" applyBorder="1" applyAlignment="1" applyProtection="1">
      <alignment horizontal="center" vertical="center"/>
      <protection locked="0"/>
    </xf>
    <xf numFmtId="44" fontId="0" fillId="16" borderId="5" xfId="3" applyFont="1" applyFill="1" applyBorder="1" applyAlignment="1">
      <alignment horizontal="center" vertical="center"/>
    </xf>
    <xf numFmtId="43" fontId="1" fillId="3" borderId="5" xfId="1" applyNumberFormat="1" applyFont="1" applyFill="1" applyBorder="1" applyAlignment="1" applyProtection="1">
      <alignment horizontal="center" vertical="center"/>
      <protection locked="0"/>
    </xf>
    <xf numFmtId="43" fontId="1" fillId="3" borderId="2" xfId="1" applyNumberFormat="1" applyFont="1" applyFill="1" applyBorder="1" applyAlignment="1" applyProtection="1">
      <alignment horizontal="center" vertical="center"/>
      <protection locked="0"/>
    </xf>
    <xf numFmtId="43" fontId="1" fillId="3" borderId="12" xfId="1" applyNumberFormat="1" applyFont="1" applyFill="1" applyBorder="1" applyAlignment="1" applyProtection="1">
      <alignment horizontal="center" vertical="center"/>
      <protection locked="0"/>
    </xf>
    <xf numFmtId="43" fontId="1" fillId="3" borderId="16" xfId="1" applyNumberFormat="1" applyFont="1" applyFill="1" applyBorder="1" applyAlignment="1" applyProtection="1">
      <alignment horizontal="center" vertical="center"/>
      <protection locked="0"/>
    </xf>
    <xf numFmtId="165" fontId="1" fillId="0" borderId="12" xfId="1" applyNumberFormat="1" applyFont="1" applyFill="1" applyBorder="1" applyAlignment="1" applyProtection="1">
      <alignment horizontal="center" vertical="center"/>
      <protection locked="0"/>
    </xf>
    <xf numFmtId="44" fontId="0" fillId="2" borderId="12" xfId="1" applyNumberFormat="1" applyFont="1" applyFill="1" applyBorder="1" applyAlignment="1" applyProtection="1">
      <alignment horizontal="center" vertical="center"/>
      <protection locked="0"/>
    </xf>
    <xf numFmtId="44" fontId="0" fillId="2" borderId="3" xfId="1" applyNumberFormat="1" applyFont="1" applyFill="1" applyBorder="1" applyAlignment="1" applyProtection="1">
      <alignment horizontal="center" vertical="center"/>
      <protection locked="0"/>
    </xf>
    <xf numFmtId="43" fontId="1" fillId="3" borderId="3" xfId="1" applyNumberFormat="1" applyFont="1" applyFill="1" applyBorder="1" applyAlignment="1" applyProtection="1">
      <alignment horizontal="center" vertical="center"/>
      <protection locked="0"/>
    </xf>
    <xf numFmtId="168" fontId="29" fillId="3" borderId="44" xfId="1" applyNumberFormat="1" applyFont="1" applyFill="1" applyBorder="1" applyAlignment="1" applyProtection="1">
      <alignment horizontal="center" vertical="center"/>
      <protection locked="0"/>
    </xf>
    <xf numFmtId="44" fontId="36" fillId="6" borderId="16" xfId="3" applyFont="1" applyFill="1" applyBorder="1" applyAlignment="1">
      <alignment horizontal="center"/>
    </xf>
    <xf numFmtId="173" fontId="36" fillId="6" borderId="16" xfId="3" applyNumberFormat="1" applyFont="1" applyFill="1" applyBorder="1" applyAlignment="1">
      <alignment horizontal="center"/>
    </xf>
    <xf numFmtId="165" fontId="1" fillId="17" borderId="37" xfId="1" applyNumberFormat="1" applyFont="1" applyFill="1" applyBorder="1" applyAlignment="1" applyProtection="1">
      <alignment horizontal="center" vertical="center"/>
      <protection locked="0"/>
    </xf>
    <xf numFmtId="165" fontId="1" fillId="18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/>
    <xf numFmtId="0" fontId="38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172" fontId="0" fillId="2" borderId="5" xfId="1" applyNumberFormat="1" applyFont="1" applyFill="1" applyBorder="1" applyAlignment="1" applyProtection="1">
      <alignment horizontal="center" vertical="center"/>
      <protection locked="0"/>
    </xf>
    <xf numFmtId="172" fontId="0" fillId="19" borderId="5" xfId="1" applyNumberFormat="1" applyFont="1" applyFill="1" applyBorder="1" applyAlignment="1" applyProtection="1">
      <alignment horizontal="center" vertical="center"/>
      <protection locked="0"/>
    </xf>
    <xf numFmtId="174" fontId="0" fillId="2" borderId="5" xfId="1" applyNumberFormat="1" applyFont="1" applyFill="1" applyBorder="1" applyAlignment="1" applyProtection="1">
      <alignment horizontal="center" vertical="center"/>
      <protection locked="0"/>
    </xf>
    <xf numFmtId="43" fontId="0" fillId="2" borderId="5" xfId="1" applyFont="1" applyFill="1" applyBorder="1" applyAlignment="1" applyProtection="1">
      <alignment horizontal="center" vertical="center"/>
      <protection locked="0"/>
    </xf>
    <xf numFmtId="172" fontId="40" fillId="6" borderId="18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172" fontId="0" fillId="2" borderId="30" xfId="1" applyNumberFormat="1" applyFont="1" applyFill="1" applyBorder="1" applyAlignment="1" applyProtection="1">
      <alignment horizontal="center"/>
      <protection locked="0"/>
    </xf>
    <xf numFmtId="172" fontId="0" fillId="2" borderId="2" xfId="1" applyNumberFormat="1" applyFont="1" applyFill="1" applyBorder="1" applyAlignment="1" applyProtection="1">
      <alignment horizontal="center" vertical="center"/>
      <protection locked="0"/>
    </xf>
    <xf numFmtId="172" fontId="0" fillId="19" borderId="31" xfId="1" applyNumberFormat="1" applyFont="1" applyFill="1" applyBorder="1" applyAlignment="1" applyProtection="1">
      <alignment horizontal="center" vertical="center"/>
      <protection locked="0"/>
    </xf>
    <xf numFmtId="172" fontId="0" fillId="19" borderId="32" xfId="1" applyNumberFormat="1" applyFon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72" fontId="0" fillId="19" borderId="33" xfId="1" applyNumberFormat="1" applyFont="1" applyFill="1" applyBorder="1" applyAlignment="1" applyProtection="1">
      <alignment horizontal="center" vertical="center"/>
      <protection locked="0"/>
    </xf>
    <xf numFmtId="43" fontId="0" fillId="19" borderId="34" xfId="1" applyFont="1" applyFill="1" applyBorder="1" applyAlignment="1" applyProtection="1">
      <alignment horizontal="center" vertical="center"/>
      <protection locked="0"/>
    </xf>
    <xf numFmtId="172" fontId="0" fillId="19" borderId="35" xfId="1" applyNumberFormat="1" applyFont="1" applyFill="1" applyBorder="1" applyAlignment="1" applyProtection="1">
      <alignment horizontal="center" vertical="center"/>
      <protection locked="0"/>
    </xf>
    <xf numFmtId="164" fontId="0" fillId="2" borderId="16" xfId="1" applyNumberFormat="1" applyFont="1" applyFill="1" applyBorder="1" applyAlignment="1" applyProtection="1">
      <alignment horizontal="center" vertical="center"/>
      <protection locked="0"/>
    </xf>
    <xf numFmtId="43" fontId="0" fillId="2" borderId="16" xfId="1" applyFont="1" applyFill="1" applyBorder="1" applyAlignment="1" applyProtection="1">
      <alignment horizontal="center" vertical="center"/>
      <protection locked="0"/>
    </xf>
    <xf numFmtId="43" fontId="0" fillId="19" borderId="12" xfId="1" applyFont="1" applyFill="1" applyBorder="1" applyAlignment="1" applyProtection="1">
      <alignment horizontal="center" vertical="center"/>
      <protection locked="0"/>
    </xf>
    <xf numFmtId="164" fontId="0" fillId="2" borderId="12" xfId="1" applyNumberFormat="1" applyFont="1" applyFill="1" applyBorder="1" applyAlignment="1" applyProtection="1">
      <alignment horizontal="center" vertical="center"/>
      <protection locked="0"/>
    </xf>
    <xf numFmtId="172" fontId="0" fillId="19" borderId="34" xfId="1" applyNumberFormat="1" applyFont="1" applyFill="1" applyBorder="1" applyAlignment="1" applyProtection="1">
      <alignment horizontal="center" vertical="center"/>
      <protection locked="0"/>
    </xf>
    <xf numFmtId="172" fontId="0" fillId="2" borderId="3" xfId="1" applyNumberFormat="1" applyFont="1" applyFill="1" applyBorder="1" applyAlignment="1" applyProtection="1">
      <alignment horizontal="center" vertical="center"/>
      <protection locked="0"/>
    </xf>
    <xf numFmtId="164" fontId="0" fillId="2" borderId="3" xfId="1" applyNumberFormat="1" applyFont="1" applyFill="1" applyBorder="1" applyAlignment="1" applyProtection="1">
      <alignment horizontal="center" vertical="center"/>
      <protection locked="0"/>
    </xf>
    <xf numFmtId="43" fontId="0" fillId="2" borderId="3" xfId="1" applyFont="1" applyFill="1" applyBorder="1" applyAlignment="1" applyProtection="1">
      <alignment horizontal="center" vertical="center"/>
      <protection locked="0"/>
    </xf>
    <xf numFmtId="172" fontId="0" fillId="19" borderId="36" xfId="1" applyNumberFormat="1" applyFont="1" applyFill="1" applyBorder="1" applyAlignment="1" applyProtection="1">
      <alignment horizontal="center" vertical="center"/>
      <protection locked="0"/>
    </xf>
    <xf numFmtId="172" fontId="40" fillId="6" borderId="3" xfId="1" applyNumberFormat="1" applyFont="1" applyFill="1" applyBorder="1" applyAlignment="1" applyProtection="1">
      <alignment horizontal="center" vertical="center"/>
      <protection locked="0"/>
    </xf>
    <xf numFmtId="172" fontId="40" fillId="6" borderId="36" xfId="1" applyNumberFormat="1" applyFont="1" applyFill="1" applyBorder="1" applyAlignment="1" applyProtection="1">
      <alignment horizontal="center" vertical="center"/>
      <protection locked="0"/>
    </xf>
    <xf numFmtId="172" fontId="0" fillId="2" borderId="37" xfId="1" applyNumberFormat="1" applyFont="1" applyFill="1" applyBorder="1" applyAlignment="1" applyProtection="1">
      <alignment horizontal="center" vertical="center"/>
      <protection locked="0"/>
    </xf>
    <xf numFmtId="172" fontId="0" fillId="0" borderId="37" xfId="1" applyNumberFormat="1" applyFont="1" applyFill="1" applyBorder="1" applyAlignment="1" applyProtection="1">
      <alignment horizontal="center" vertical="center"/>
      <protection locked="0"/>
    </xf>
    <xf numFmtId="172" fontId="0" fillId="19" borderId="38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30" xfId="0" applyFont="1" applyFill="1" applyBorder="1"/>
    <xf numFmtId="0" fontId="17" fillId="2" borderId="3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0" fillId="20" borderId="26" xfId="0" applyFill="1" applyBorder="1" applyAlignment="1" applyProtection="1">
      <alignment horizontal="center" vertical="center"/>
      <protection locked="0"/>
    </xf>
    <xf numFmtId="0" fontId="0" fillId="20" borderId="27" xfId="0" applyFill="1" applyBorder="1" applyAlignment="1" applyProtection="1">
      <alignment horizontal="center" vertical="center"/>
      <protection locked="0"/>
    </xf>
    <xf numFmtId="175" fontId="0" fillId="2" borderId="40" xfId="1" applyNumberFormat="1" applyFont="1" applyFill="1" applyBorder="1" applyAlignment="1" applyProtection="1">
      <alignment horizontal="center" vertical="center"/>
      <protection locked="0"/>
    </xf>
    <xf numFmtId="9" fontId="0" fillId="0" borderId="39" xfId="2" applyFont="1" applyBorder="1" applyAlignment="1" applyProtection="1">
      <alignment horizontal="center" vertical="center"/>
      <protection locked="0"/>
    </xf>
    <xf numFmtId="0" fontId="0" fillId="20" borderId="25" xfId="0" applyFill="1" applyBorder="1" applyAlignment="1">
      <alignment horizontal="center" vertical="center"/>
    </xf>
    <xf numFmtId="172" fontId="40" fillId="6" borderId="42" xfId="1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/>
    <xf numFmtId="0" fontId="0" fillId="20" borderId="22" xfId="0" applyFill="1" applyBorder="1" applyAlignment="1" applyProtection="1">
      <alignment horizontal="center" vertical="center"/>
      <protection locked="0"/>
    </xf>
    <xf numFmtId="0" fontId="0" fillId="20" borderId="23" xfId="0" applyFill="1" applyBorder="1" applyAlignment="1" applyProtection="1">
      <alignment horizontal="center" vertical="center"/>
      <protection locked="0"/>
    </xf>
    <xf numFmtId="9" fontId="0" fillId="2" borderId="43" xfId="2" applyFont="1" applyFill="1" applyBorder="1" applyAlignment="1" applyProtection="1">
      <alignment horizontal="center" vertical="center"/>
      <protection locked="0"/>
    </xf>
    <xf numFmtId="175" fontId="28" fillId="2" borderId="44" xfId="1" applyNumberFormat="1" applyFont="1" applyFill="1" applyBorder="1" applyAlignment="1" applyProtection="1">
      <alignment horizontal="center" vertical="center"/>
      <protection locked="0"/>
    </xf>
    <xf numFmtId="175" fontId="28" fillId="2" borderId="45" xfId="1" applyNumberFormat="1" applyFont="1" applyFill="1" applyBorder="1" applyAlignment="1" applyProtection="1">
      <alignment horizontal="center" vertical="center"/>
      <protection locked="0"/>
    </xf>
    <xf numFmtId="176" fontId="28" fillId="2" borderId="6" xfId="1" applyNumberFormat="1" applyFont="1" applyFill="1" applyBorder="1" applyAlignment="1" applyProtection="1">
      <alignment horizontal="center" vertical="center"/>
      <protection locked="0"/>
    </xf>
    <xf numFmtId="176" fontId="28" fillId="2" borderId="47" xfId="1" applyNumberFormat="1" applyFont="1" applyFill="1" applyBorder="1" applyAlignment="1" applyProtection="1">
      <alignment horizontal="center" vertical="center"/>
      <protection locked="0"/>
    </xf>
    <xf numFmtId="0" fontId="0" fillId="20" borderId="44" xfId="0" applyFill="1" applyBorder="1" applyAlignment="1" applyProtection="1">
      <alignment horizontal="center" vertical="center"/>
      <protection locked="0"/>
    </xf>
    <xf numFmtId="0" fontId="0" fillId="20" borderId="47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0" borderId="24" xfId="0" applyFill="1" applyBorder="1" applyAlignment="1" applyProtection="1">
      <alignment horizontal="center" vertical="center"/>
      <protection locked="0"/>
    </xf>
    <xf numFmtId="0" fontId="0" fillId="20" borderId="25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28" fillId="2" borderId="44" xfId="0" applyFont="1" applyFill="1" applyBorder="1" applyAlignment="1" applyProtection="1">
      <alignment horizontal="center" vertical="center"/>
      <protection locked="0"/>
    </xf>
    <xf numFmtId="0" fontId="41" fillId="2" borderId="47" xfId="0" applyFont="1" applyFill="1" applyBorder="1" applyAlignment="1" applyProtection="1">
      <alignment horizontal="center" vertical="center"/>
      <protection locked="0"/>
    </xf>
    <xf numFmtId="0" fontId="40" fillId="6" borderId="49" xfId="0" applyFont="1" applyFill="1" applyBorder="1" applyAlignment="1" applyProtection="1">
      <alignment horizontal="center" vertical="center"/>
      <protection locked="0"/>
    </xf>
    <xf numFmtId="0" fontId="40" fillId="6" borderId="50" xfId="0" applyFont="1" applyFill="1" applyBorder="1" applyAlignment="1" applyProtection="1">
      <alignment horizontal="center" vertical="center"/>
      <protection locked="0"/>
    </xf>
    <xf numFmtId="177" fontId="40" fillId="6" borderId="51" xfId="1" applyNumberFormat="1" applyFont="1" applyFill="1" applyBorder="1" applyAlignment="1" applyProtection="1">
      <alignment vertical="center"/>
      <protection locked="0"/>
    </xf>
    <xf numFmtId="0" fontId="40" fillId="6" borderId="26" xfId="0" applyFont="1" applyFill="1" applyBorder="1" applyAlignment="1" applyProtection="1">
      <alignment horizontal="center" vertical="center"/>
      <protection locked="0"/>
    </xf>
    <xf numFmtId="0" fontId="40" fillId="6" borderId="27" xfId="0" applyFont="1" applyFill="1" applyBorder="1" applyAlignment="1" applyProtection="1">
      <alignment horizontal="center" vertical="center"/>
      <protection locked="0"/>
    </xf>
    <xf numFmtId="178" fontId="40" fillId="6" borderId="40" xfId="1" applyNumberFormat="1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/>
      <protection locked="0"/>
    </xf>
    <xf numFmtId="0" fontId="0" fillId="20" borderId="52" xfId="0" applyFill="1" applyBorder="1" applyAlignment="1">
      <alignment horizontal="center" vertical="center"/>
    </xf>
    <xf numFmtId="171" fontId="0" fillId="8" borderId="43" xfId="2" applyNumberFormat="1" applyFont="1" applyFill="1" applyBorder="1" applyAlignment="1" applyProtection="1">
      <alignment horizontal="center"/>
    </xf>
    <xf numFmtId="10" fontId="0" fillId="2" borderId="46" xfId="0" applyNumberFormat="1" applyFont="1" applyFill="1" applyBorder="1" applyAlignment="1" applyProtection="1">
      <alignment horizontal="center" vertical="center"/>
      <protection locked="0"/>
    </xf>
    <xf numFmtId="0" fontId="0" fillId="20" borderId="5" xfId="0" applyFill="1" applyBorder="1" applyAlignment="1">
      <alignment horizontal="center" vertical="center"/>
    </xf>
    <xf numFmtId="171" fontId="40" fillId="6" borderId="46" xfId="2" applyNumberFormat="1" applyFont="1" applyFill="1" applyBorder="1" applyAlignment="1" applyProtection="1">
      <alignment horizontal="center" vertical="center"/>
      <protection locked="0"/>
    </xf>
    <xf numFmtId="177" fontId="40" fillId="6" borderId="46" xfId="1" applyNumberFormat="1" applyFont="1" applyFill="1" applyBorder="1" applyAlignment="1" applyProtection="1">
      <alignment vertical="center"/>
      <protection locked="0"/>
    </xf>
    <xf numFmtId="172" fontId="6" fillId="6" borderId="46" xfId="1" applyNumberFormat="1" applyFont="1" applyFill="1" applyBorder="1" applyAlignment="1" applyProtection="1">
      <alignment horizontal="center"/>
      <protection locked="0"/>
    </xf>
    <xf numFmtId="179" fontId="7" fillId="6" borderId="18" xfId="0" applyNumberFormat="1" applyFont="1" applyFill="1" applyBorder="1" applyAlignment="1">
      <alignment horizontal="center" vertical="center"/>
    </xf>
    <xf numFmtId="178" fontId="40" fillId="6" borderId="48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0" fillId="20" borderId="23" xfId="0" applyFill="1" applyBorder="1" applyAlignment="1">
      <alignment horizontal="center" vertical="center"/>
    </xf>
    <xf numFmtId="172" fontId="0" fillId="19" borderId="43" xfId="1" applyNumberFormat="1" applyFont="1" applyFill="1" applyBorder="1" applyAlignment="1" applyProtection="1">
      <alignment horizontal="center" vertical="center"/>
      <protection locked="0"/>
    </xf>
    <xf numFmtId="172" fontId="0" fillId="19" borderId="48" xfId="1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Protection="1">
      <protection locked="0"/>
    </xf>
    <xf numFmtId="175" fontId="0" fillId="2" borderId="43" xfId="1" applyNumberFormat="1" applyFont="1" applyFill="1" applyBorder="1" applyAlignment="1" applyProtection="1">
      <alignment horizontal="center" vertical="center"/>
      <protection locked="0"/>
    </xf>
    <xf numFmtId="175" fontId="0" fillId="2" borderId="48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172" fontId="0" fillId="0" borderId="53" xfId="1" applyNumberFormat="1" applyFont="1" applyBorder="1" applyAlignment="1" applyProtection="1">
      <alignment horizontal="center" vertical="center"/>
      <protection locked="0"/>
    </xf>
    <xf numFmtId="172" fontId="0" fillId="19" borderId="39" xfId="1" applyNumberFormat="1" applyFont="1" applyFill="1" applyBorder="1" applyAlignment="1" applyProtection="1">
      <alignment horizontal="center" vertical="center"/>
      <protection locked="0"/>
    </xf>
    <xf numFmtId="165" fontId="1" fillId="17" borderId="12" xfId="1" applyNumberFormat="1" applyFont="1" applyFill="1" applyBorder="1" applyAlignment="1" applyProtection="1">
      <alignment horizontal="center" vertical="center"/>
      <protection locked="0"/>
    </xf>
    <xf numFmtId="44" fontId="0" fillId="2" borderId="16" xfId="1" applyNumberFormat="1" applyFont="1" applyFill="1" applyBorder="1" applyAlignment="1" applyProtection="1">
      <alignment horizontal="center" vertical="center"/>
      <protection locked="0"/>
    </xf>
    <xf numFmtId="44" fontId="2" fillId="5" borderId="3" xfId="3" applyFont="1" applyFill="1" applyBorder="1" applyAlignment="1" applyProtection="1">
      <alignment horizontal="center" vertical="center"/>
      <protection locked="0"/>
    </xf>
    <xf numFmtId="44" fontId="2" fillId="5" borderId="36" xfId="3" applyFont="1" applyFill="1" applyBorder="1" applyAlignment="1" applyProtection="1">
      <alignment horizontal="center" vertical="center"/>
      <protection locked="0"/>
    </xf>
    <xf numFmtId="44" fontId="30" fillId="5" borderId="46" xfId="3" applyFont="1" applyFill="1" applyBorder="1" applyAlignment="1" applyProtection="1">
      <alignment horizontal="center"/>
      <protection locked="0"/>
    </xf>
    <xf numFmtId="44" fontId="2" fillId="5" borderId="46" xfId="3" applyFont="1" applyFill="1" applyBorder="1" applyAlignment="1" applyProtection="1">
      <alignment vertical="center"/>
      <protection locked="0"/>
    </xf>
    <xf numFmtId="43" fontId="1" fillId="15" borderId="5" xfId="1" applyNumberFormat="1" applyFont="1" applyFill="1" applyBorder="1" applyAlignment="1" applyProtection="1">
      <alignment horizontal="center" vertical="center"/>
      <protection locked="0"/>
    </xf>
    <xf numFmtId="43" fontId="0" fillId="0" borderId="5" xfId="0" applyNumberFormat="1" applyBorder="1" applyAlignment="1" applyProtection="1">
      <alignment horizontal="center" vertical="center"/>
      <protection locked="0"/>
    </xf>
    <xf numFmtId="43" fontId="2" fillId="5" borderId="18" xfId="1" applyNumberFormat="1" applyFont="1" applyFill="1" applyBorder="1" applyAlignment="1" applyProtection="1">
      <alignment horizontal="center" vertical="center"/>
      <protection locked="0"/>
    </xf>
    <xf numFmtId="43" fontId="1" fillId="15" borderId="32" xfId="1" applyNumberFormat="1" applyFont="1" applyFill="1" applyBorder="1" applyAlignment="1" applyProtection="1">
      <alignment horizontal="center" vertical="center"/>
      <protection locked="0"/>
    </xf>
    <xf numFmtId="43" fontId="1" fillId="15" borderId="33" xfId="1" applyNumberFormat="1" applyFont="1" applyFill="1" applyBorder="1" applyAlignment="1" applyProtection="1">
      <alignment horizontal="center" vertical="center"/>
      <protection locked="0"/>
    </xf>
    <xf numFmtId="43" fontId="1" fillId="15" borderId="34" xfId="1" applyNumberFormat="1" applyFont="1" applyFill="1" applyBorder="1" applyAlignment="1" applyProtection="1">
      <alignment horizontal="center" vertical="center"/>
      <protection locked="0"/>
    </xf>
    <xf numFmtId="43" fontId="1" fillId="15" borderId="35" xfId="1" applyNumberFormat="1" applyFont="1" applyFill="1" applyBorder="1" applyAlignment="1" applyProtection="1">
      <alignment horizontal="center" vertical="center"/>
      <protection locked="0"/>
    </xf>
    <xf numFmtId="43" fontId="1" fillId="15" borderId="12" xfId="1" applyNumberFormat="1" applyFont="1" applyFill="1" applyBorder="1" applyAlignment="1" applyProtection="1">
      <alignment horizontal="center" vertical="center"/>
      <protection locked="0"/>
    </xf>
    <xf numFmtId="44" fontId="0" fillId="18" borderId="12" xfId="1" applyNumberFormat="1" applyFont="1" applyFill="1" applyBorder="1" applyAlignment="1" applyProtection="1">
      <alignment horizontal="center" vertical="center"/>
      <protection locked="0"/>
    </xf>
    <xf numFmtId="43" fontId="1" fillId="15" borderId="36" xfId="1" applyNumberFormat="1" applyFont="1" applyFill="1" applyBorder="1" applyAlignment="1" applyProtection="1">
      <alignment horizontal="center" vertical="center"/>
      <protection locked="0"/>
    </xf>
    <xf numFmtId="43" fontId="2" fillId="5" borderId="3" xfId="1" applyNumberFormat="1" applyFont="1" applyFill="1" applyBorder="1" applyAlignment="1" applyProtection="1">
      <alignment horizontal="center" vertical="center"/>
      <protection locked="0"/>
    </xf>
    <xf numFmtId="43" fontId="2" fillId="5" borderId="36" xfId="1" applyNumberFormat="1" applyFont="1" applyFill="1" applyBorder="1" applyAlignment="1" applyProtection="1">
      <alignment horizontal="center" vertical="center"/>
      <protection locked="0"/>
    </xf>
    <xf numFmtId="43" fontId="1" fillId="3" borderId="37" xfId="1" applyNumberFormat="1" applyFont="1" applyFill="1" applyBorder="1" applyAlignment="1" applyProtection="1">
      <alignment horizontal="center" vertical="center"/>
      <protection locked="0"/>
    </xf>
    <xf numFmtId="43" fontId="1" fillId="15" borderId="38" xfId="1" applyNumberFormat="1" applyFont="1" applyFill="1" applyBorder="1" applyAlignment="1" applyProtection="1">
      <alignment horizontal="center" vertical="center"/>
      <protection locked="0"/>
    </xf>
    <xf numFmtId="171" fontId="1" fillId="7" borderId="53" xfId="2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 applyProtection="1">
      <alignment horizontal="center" vertical="center"/>
      <protection locked="0"/>
    </xf>
    <xf numFmtId="10" fontId="1" fillId="3" borderId="3" xfId="0" applyNumberFormat="1" applyFont="1" applyFill="1" applyBorder="1" applyAlignment="1" applyProtection="1">
      <alignment horizontal="center" vertical="center"/>
      <protection locked="0"/>
    </xf>
    <xf numFmtId="171" fontId="2" fillId="5" borderId="3" xfId="2" applyNumberFormat="1" applyFont="1" applyFill="1" applyBorder="1" applyAlignment="1" applyProtection="1">
      <alignment horizontal="center" vertical="center"/>
      <protection locked="0"/>
    </xf>
    <xf numFmtId="169" fontId="2" fillId="5" borderId="3" xfId="1" applyNumberFormat="1" applyFont="1" applyFill="1" applyBorder="1" applyAlignment="1" applyProtection="1">
      <alignment vertical="center"/>
      <protection locked="0"/>
    </xf>
    <xf numFmtId="44" fontId="30" fillId="5" borderId="3" xfId="3" applyFont="1" applyFill="1" applyBorder="1" applyAlignment="1" applyProtection="1">
      <alignment horizontal="center"/>
      <protection locked="0"/>
    </xf>
    <xf numFmtId="44" fontId="2" fillId="5" borderId="3" xfId="3" applyFont="1" applyFill="1" applyBorder="1" applyAlignment="1" applyProtection="1">
      <alignment vertical="center"/>
      <protection locked="0"/>
    </xf>
    <xf numFmtId="170" fontId="2" fillId="5" borderId="18" xfId="1" applyNumberFormat="1" applyFont="1" applyFill="1" applyBorder="1" applyAlignment="1" applyProtection="1">
      <alignment horizontal="center" vertical="center"/>
      <protection locked="0"/>
    </xf>
    <xf numFmtId="43" fontId="1" fillId="15" borderId="43" xfId="1" applyNumberFormat="1" applyFont="1" applyFill="1" applyBorder="1" applyAlignment="1" applyProtection="1">
      <alignment horizontal="center" vertical="center"/>
      <protection locked="0"/>
    </xf>
    <xf numFmtId="44" fontId="6" fillId="2" borderId="0" xfId="0" applyNumberFormat="1" applyFont="1" applyFill="1"/>
    <xf numFmtId="10" fontId="6" fillId="2" borderId="0" xfId="0" applyNumberFormat="1" applyFont="1" applyFill="1"/>
    <xf numFmtId="0" fontId="4" fillId="21" borderId="1" xfId="0" applyFont="1" applyFill="1" applyBorder="1"/>
    <xf numFmtId="0" fontId="45" fillId="21" borderId="0" xfId="0" applyFont="1" applyFill="1"/>
    <xf numFmtId="0" fontId="47" fillId="22" borderId="2" xfId="0" applyFont="1" applyFill="1" applyBorder="1" applyAlignment="1">
      <alignment horizontal="center" vertical="center" wrapText="1"/>
    </xf>
    <xf numFmtId="0" fontId="48" fillId="22" borderId="2" xfId="0" applyFont="1" applyFill="1" applyBorder="1" applyAlignment="1">
      <alignment horizontal="center" vertical="center" wrapText="1"/>
    </xf>
    <xf numFmtId="164" fontId="0" fillId="21" borderId="5" xfId="1" applyNumberFormat="1" applyFont="1" applyFill="1" applyBorder="1" applyAlignment="1" applyProtection="1">
      <alignment horizontal="center" vertical="center"/>
      <protection locked="0"/>
    </xf>
    <xf numFmtId="165" fontId="49" fillId="22" borderId="5" xfId="1" applyNumberFormat="1" applyFont="1" applyFill="1" applyBorder="1" applyAlignment="1" applyProtection="1">
      <alignment horizontal="center" vertical="center"/>
      <protection locked="0"/>
    </xf>
    <xf numFmtId="165" fontId="49" fillId="23" borderId="5" xfId="1" applyNumberFormat="1" applyFont="1" applyFill="1" applyBorder="1" applyAlignment="1" applyProtection="1">
      <alignment horizontal="center" vertical="center"/>
      <protection locked="0"/>
    </xf>
    <xf numFmtId="166" fontId="0" fillId="21" borderId="5" xfId="1" applyNumberFormat="1" applyFont="1" applyFill="1" applyBorder="1" applyAlignment="1" applyProtection="1">
      <alignment horizontal="center" vertical="center"/>
      <protection locked="0"/>
    </xf>
    <xf numFmtId="0" fontId="28" fillId="24" borderId="5" xfId="0" applyFont="1" applyFill="1" applyBorder="1" applyAlignment="1" applyProtection="1">
      <alignment horizontal="center" vertical="center"/>
      <protection locked="0"/>
    </xf>
    <xf numFmtId="43" fontId="49" fillId="22" borderId="5" xfId="1" applyNumberFormat="1" applyFont="1" applyFill="1" applyBorder="1" applyAlignment="1" applyProtection="1">
      <alignment horizontal="center" vertical="center"/>
      <protection locked="0"/>
    </xf>
    <xf numFmtId="165" fontId="50" fillId="25" borderId="18" xfId="1" applyNumberFormat="1" applyFont="1" applyFill="1" applyBorder="1" applyAlignment="1" applyProtection="1">
      <alignment horizontal="center" vertical="center"/>
      <protection locked="0"/>
    </xf>
    <xf numFmtId="0" fontId="49" fillId="22" borderId="0" xfId="0" applyFont="1" applyFill="1" applyAlignment="1" applyProtection="1">
      <alignment horizontal="center"/>
      <protection locked="0"/>
    </xf>
    <xf numFmtId="165" fontId="49" fillId="22" borderId="30" xfId="1" applyNumberFormat="1" applyFont="1" applyFill="1" applyBorder="1" applyAlignment="1" applyProtection="1">
      <alignment horizontal="center"/>
      <protection locked="0"/>
    </xf>
    <xf numFmtId="43" fontId="49" fillId="22" borderId="2" xfId="1" applyNumberFormat="1" applyFont="1" applyFill="1" applyBorder="1" applyAlignment="1" applyProtection="1">
      <alignment horizontal="center" vertical="center"/>
      <protection locked="0"/>
    </xf>
    <xf numFmtId="165" fontId="49" fillId="22" borderId="2" xfId="1" applyNumberFormat="1" applyFont="1" applyFill="1" applyBorder="1" applyAlignment="1" applyProtection="1">
      <alignment horizontal="center" vertical="center"/>
      <protection locked="0"/>
    </xf>
    <xf numFmtId="165" fontId="49" fillId="23" borderId="31" xfId="1" applyNumberFormat="1" applyFont="1" applyFill="1" applyBorder="1" applyAlignment="1" applyProtection="1">
      <alignment horizontal="center" vertical="center"/>
      <protection locked="0"/>
    </xf>
    <xf numFmtId="165" fontId="49" fillId="23" borderId="32" xfId="1" applyNumberFormat="1" applyFont="1" applyFill="1" applyBorder="1" applyAlignment="1" applyProtection="1">
      <alignment horizontal="center" vertical="center"/>
      <protection locked="0"/>
    </xf>
    <xf numFmtId="43" fontId="49" fillId="22" borderId="12" xfId="1" applyNumberFormat="1" applyFont="1" applyFill="1" applyBorder="1" applyAlignment="1" applyProtection="1">
      <alignment horizontal="center" vertical="center"/>
      <protection locked="0"/>
    </xf>
    <xf numFmtId="165" fontId="49" fillId="22" borderId="12" xfId="1" applyNumberFormat="1" applyFont="1" applyFill="1" applyBorder="1" applyAlignment="1" applyProtection="1">
      <alignment horizontal="center" vertical="center"/>
      <protection locked="0"/>
    </xf>
    <xf numFmtId="165" fontId="49" fillId="23" borderId="33" xfId="1" applyNumberFormat="1" applyFont="1" applyFill="1" applyBorder="1" applyAlignment="1" applyProtection="1">
      <alignment horizontal="center" vertical="center"/>
      <protection locked="0"/>
    </xf>
    <xf numFmtId="165" fontId="49" fillId="23" borderId="34" xfId="1" applyNumberFormat="1" applyFont="1" applyFill="1" applyBorder="1" applyAlignment="1" applyProtection="1">
      <alignment horizontal="center" vertical="center"/>
      <protection locked="0"/>
    </xf>
    <xf numFmtId="165" fontId="49" fillId="23" borderId="35" xfId="1" applyNumberFormat="1" applyFont="1" applyFill="1" applyBorder="1" applyAlignment="1" applyProtection="1">
      <alignment horizontal="center" vertical="center"/>
      <protection locked="0"/>
    </xf>
    <xf numFmtId="44" fontId="0" fillId="21" borderId="16" xfId="1" applyNumberFormat="1" applyFont="1" applyFill="1" applyBorder="1" applyAlignment="1" applyProtection="1">
      <alignment horizontal="center" vertical="center"/>
      <protection locked="0"/>
    </xf>
    <xf numFmtId="165" fontId="49" fillId="22" borderId="16" xfId="1" applyNumberFormat="1" applyFont="1" applyFill="1" applyBorder="1" applyAlignment="1" applyProtection="1">
      <alignment horizontal="center" vertical="center"/>
      <protection locked="0"/>
    </xf>
    <xf numFmtId="165" fontId="49" fillId="23" borderId="12" xfId="1" applyNumberFormat="1" applyFont="1" applyFill="1" applyBorder="1" applyAlignment="1" applyProtection="1">
      <alignment horizontal="center" vertical="center"/>
      <protection locked="0"/>
    </xf>
    <xf numFmtId="44" fontId="0" fillId="21" borderId="12" xfId="1" applyNumberFormat="1" applyFont="1" applyFill="1" applyBorder="1" applyAlignment="1" applyProtection="1">
      <alignment horizontal="center" vertical="center"/>
      <protection locked="0"/>
    </xf>
    <xf numFmtId="165" fontId="49" fillId="22" borderId="3" xfId="1" applyNumberFormat="1" applyFont="1" applyFill="1" applyBorder="1" applyAlignment="1" applyProtection="1">
      <alignment horizontal="center" vertical="center"/>
      <protection locked="0"/>
    </xf>
    <xf numFmtId="44" fontId="0" fillId="21" borderId="3" xfId="1" applyNumberFormat="1" applyFont="1" applyFill="1" applyBorder="1" applyAlignment="1" applyProtection="1">
      <alignment horizontal="center" vertical="center"/>
      <protection locked="0"/>
    </xf>
    <xf numFmtId="43" fontId="49" fillId="22" borderId="3" xfId="1" applyNumberFormat="1" applyFont="1" applyFill="1" applyBorder="1" applyAlignment="1" applyProtection="1">
      <alignment horizontal="center" vertical="center"/>
      <protection locked="0"/>
    </xf>
    <xf numFmtId="165" fontId="49" fillId="23" borderId="36" xfId="1" applyNumberFormat="1" applyFont="1" applyFill="1" applyBorder="1" applyAlignment="1" applyProtection="1">
      <alignment horizontal="center" vertical="center"/>
      <protection locked="0"/>
    </xf>
    <xf numFmtId="165" fontId="50" fillId="25" borderId="3" xfId="1" applyNumberFormat="1" applyFont="1" applyFill="1" applyBorder="1" applyAlignment="1" applyProtection="1">
      <alignment horizontal="center" vertical="center"/>
      <protection locked="0"/>
    </xf>
    <xf numFmtId="165" fontId="50" fillId="25" borderId="36" xfId="1" applyNumberFormat="1" applyFont="1" applyFill="1" applyBorder="1" applyAlignment="1" applyProtection="1">
      <alignment horizontal="center" vertical="center"/>
      <protection locked="0"/>
    </xf>
    <xf numFmtId="165" fontId="49" fillId="22" borderId="37" xfId="1" applyNumberFormat="1" applyFont="1" applyFill="1" applyBorder="1" applyAlignment="1" applyProtection="1">
      <alignment horizontal="center" vertical="center"/>
      <protection locked="0"/>
    </xf>
    <xf numFmtId="165" fontId="49" fillId="23" borderId="38" xfId="1" applyNumberFormat="1" applyFont="1" applyFill="1" applyBorder="1" applyAlignment="1" applyProtection="1">
      <alignment horizontal="center" vertical="center"/>
      <protection locked="0"/>
    </xf>
    <xf numFmtId="0" fontId="51" fillId="22" borderId="0" xfId="0" applyFont="1" applyFill="1" applyAlignment="1">
      <alignment horizontal="center" vertical="center"/>
    </xf>
    <xf numFmtId="0" fontId="51" fillId="22" borderId="30" xfId="0" applyFont="1" applyFill="1" applyBorder="1"/>
    <xf numFmtId="0" fontId="52" fillId="22" borderId="0" xfId="0" applyFont="1" applyFill="1" applyAlignment="1" applyProtection="1">
      <alignment horizontal="center"/>
      <protection locked="0"/>
    </xf>
    <xf numFmtId="0" fontId="52" fillId="22" borderId="30" xfId="0" applyFont="1" applyFill="1" applyBorder="1" applyAlignment="1" applyProtection="1">
      <alignment horizontal="center"/>
      <protection locked="0"/>
    </xf>
    <xf numFmtId="0" fontId="53" fillId="22" borderId="0" xfId="0" applyFont="1" applyFill="1" applyAlignment="1">
      <alignment horizontal="center" vertical="center"/>
    </xf>
    <xf numFmtId="0" fontId="53" fillId="22" borderId="9" xfId="0" applyFont="1" applyFill="1" applyBorder="1" applyAlignment="1">
      <alignment horizontal="center" vertical="center"/>
    </xf>
    <xf numFmtId="0" fontId="53" fillId="22" borderId="39" xfId="0" applyFont="1" applyFill="1" applyBorder="1" applyAlignment="1">
      <alignment horizontal="center" vertical="center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167" fontId="49" fillId="22" borderId="40" xfId="1" applyNumberFormat="1" applyFont="1" applyFill="1" applyBorder="1" applyAlignment="1" applyProtection="1">
      <alignment horizontal="center" vertical="center"/>
      <protection locked="0"/>
    </xf>
    <xf numFmtId="9" fontId="49" fillId="0" borderId="39" xfId="2" applyFont="1" applyBorder="1" applyAlignment="1" applyProtection="1">
      <alignment horizontal="center" vertical="center"/>
      <protection locked="0"/>
    </xf>
    <xf numFmtId="0" fontId="0" fillId="26" borderId="25" xfId="0" applyFill="1" applyBorder="1" applyAlignment="1">
      <alignment horizontal="center" vertical="center"/>
    </xf>
    <xf numFmtId="165" fontId="50" fillId="25" borderId="42" xfId="1" applyNumberFormat="1" applyFont="1" applyFill="1" applyBorder="1" applyAlignment="1" applyProtection="1">
      <alignment horizontal="center" vertical="center"/>
      <protection locked="0"/>
    </xf>
    <xf numFmtId="0" fontId="51" fillId="22" borderId="28" xfId="0" applyFont="1" applyFill="1" applyBorder="1" applyAlignment="1">
      <alignment horizontal="center" vertical="center"/>
    </xf>
    <xf numFmtId="0" fontId="51" fillId="22" borderId="29" xfId="0" applyFont="1" applyFill="1" applyBorder="1"/>
    <xf numFmtId="0" fontId="0" fillId="26" borderId="22" xfId="0" applyFill="1" applyBorder="1" applyAlignment="1" applyProtection="1">
      <alignment horizontal="center" vertical="center"/>
      <protection locked="0"/>
    </xf>
    <xf numFmtId="0" fontId="0" fillId="26" borderId="23" xfId="0" applyFill="1" applyBorder="1" applyAlignment="1" applyProtection="1">
      <alignment horizontal="center" vertical="center"/>
      <protection locked="0"/>
    </xf>
    <xf numFmtId="9" fontId="49" fillId="22" borderId="43" xfId="2" applyFont="1" applyFill="1" applyBorder="1" applyAlignment="1" applyProtection="1">
      <alignment horizontal="center" vertical="center"/>
      <protection locked="0"/>
    </xf>
    <xf numFmtId="167" fontId="54" fillId="22" borderId="44" xfId="1" applyNumberFormat="1" applyFont="1" applyFill="1" applyBorder="1" applyAlignment="1" applyProtection="1">
      <alignment horizontal="center" vertical="center"/>
      <protection locked="0"/>
    </xf>
    <xf numFmtId="167" fontId="54" fillId="22" borderId="45" xfId="1" applyNumberFormat="1" applyFont="1" applyFill="1" applyBorder="1" applyAlignment="1" applyProtection="1">
      <alignment horizontal="center" vertical="center"/>
      <protection locked="0"/>
    </xf>
    <xf numFmtId="168" fontId="54" fillId="22" borderId="6" xfId="1" applyNumberFormat="1" applyFont="1" applyFill="1" applyBorder="1" applyAlignment="1" applyProtection="1">
      <alignment horizontal="center" vertical="center"/>
      <protection locked="0"/>
    </xf>
    <xf numFmtId="168" fontId="54" fillId="22" borderId="47" xfId="1" applyNumberFormat="1" applyFont="1" applyFill="1" applyBorder="1" applyAlignment="1" applyProtection="1">
      <alignment horizontal="center" vertical="center"/>
      <protection locked="0"/>
    </xf>
    <xf numFmtId="0" fontId="0" fillId="26" borderId="44" xfId="0" applyFill="1" applyBorder="1" applyAlignment="1" applyProtection="1">
      <alignment horizontal="center" vertical="center"/>
      <protection locked="0"/>
    </xf>
    <xf numFmtId="0" fontId="0" fillId="26" borderId="47" xfId="0" applyFill="1" applyBorder="1" applyAlignment="1" applyProtection="1">
      <alignment horizontal="center" vertical="center"/>
      <protection locked="0"/>
    </xf>
    <xf numFmtId="0" fontId="0" fillId="22" borderId="46" xfId="0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0" fillId="22" borderId="48" xfId="0" applyFill="1" applyBorder="1" applyAlignment="1" applyProtection="1">
      <alignment horizontal="center" vertical="center"/>
      <protection locked="0"/>
    </xf>
    <xf numFmtId="0" fontId="54" fillId="22" borderId="22" xfId="0" applyFont="1" applyFill="1" applyBorder="1" applyAlignment="1" applyProtection="1">
      <alignment horizontal="center" vertical="center"/>
      <protection locked="0"/>
    </xf>
    <xf numFmtId="0" fontId="55" fillId="22" borderId="23" xfId="0" applyFont="1" applyFill="1" applyBorder="1" applyAlignment="1" applyProtection="1">
      <alignment horizontal="center" vertical="center"/>
      <protection locked="0"/>
    </xf>
    <xf numFmtId="0" fontId="54" fillId="22" borderId="44" xfId="0" applyFont="1" applyFill="1" applyBorder="1" applyAlignment="1" applyProtection="1">
      <alignment horizontal="center" vertical="center"/>
      <protection locked="0"/>
    </xf>
    <xf numFmtId="0" fontId="55" fillId="22" borderId="47" xfId="0" applyFont="1" applyFill="1" applyBorder="1" applyAlignment="1" applyProtection="1">
      <alignment horizontal="center" vertical="center"/>
      <protection locked="0"/>
    </xf>
    <xf numFmtId="0" fontId="50" fillId="25" borderId="49" xfId="0" applyFont="1" applyFill="1" applyBorder="1" applyAlignment="1" applyProtection="1">
      <alignment horizontal="center" vertical="center"/>
      <protection locked="0"/>
    </xf>
    <xf numFmtId="0" fontId="50" fillId="25" borderId="50" xfId="0" applyFont="1" applyFill="1" applyBorder="1" applyAlignment="1" applyProtection="1">
      <alignment horizontal="center" vertical="center"/>
      <protection locked="0"/>
    </xf>
    <xf numFmtId="169" fontId="50" fillId="25" borderId="51" xfId="1" applyNumberFormat="1" applyFont="1" applyFill="1" applyBorder="1" applyAlignment="1" applyProtection="1">
      <alignment vertical="center"/>
      <protection locked="0"/>
    </xf>
    <xf numFmtId="0" fontId="50" fillId="25" borderId="26" xfId="0" applyFont="1" applyFill="1" applyBorder="1" applyAlignment="1" applyProtection="1">
      <alignment horizontal="center" vertical="center"/>
      <protection locked="0"/>
    </xf>
    <xf numFmtId="0" fontId="50" fillId="25" borderId="27" xfId="0" applyFont="1" applyFill="1" applyBorder="1" applyAlignment="1" applyProtection="1">
      <alignment horizontal="center" vertical="center"/>
      <protection locked="0"/>
    </xf>
    <xf numFmtId="170" fontId="50" fillId="25" borderId="40" xfId="1" applyNumberFormat="1" applyFont="1" applyFill="1" applyBorder="1" applyAlignment="1" applyProtection="1">
      <alignment horizontal="center" vertical="center"/>
      <protection locked="0"/>
    </xf>
    <xf numFmtId="0" fontId="56" fillId="22" borderId="0" xfId="0" applyFont="1" applyFill="1" applyAlignment="1" applyProtection="1">
      <alignment horizontal="center"/>
      <protection locked="0"/>
    </xf>
    <xf numFmtId="0" fontId="0" fillId="26" borderId="52" xfId="0" applyFill="1" applyBorder="1" applyAlignment="1">
      <alignment horizontal="center" vertical="center"/>
    </xf>
    <xf numFmtId="171" fontId="49" fillId="27" borderId="43" xfId="2" applyNumberFormat="1" applyFont="1" applyFill="1" applyBorder="1" applyAlignment="1">
      <alignment horizontal="center"/>
    </xf>
    <xf numFmtId="10" fontId="49" fillId="22" borderId="46" xfId="0" applyNumberFormat="1" applyFont="1" applyFill="1" applyBorder="1" applyAlignment="1" applyProtection="1">
      <alignment horizontal="center" vertical="center"/>
      <protection locked="0"/>
    </xf>
    <xf numFmtId="0" fontId="0" fillId="26" borderId="5" xfId="0" applyFill="1" applyBorder="1" applyAlignment="1">
      <alignment horizontal="center" vertical="center"/>
    </xf>
    <xf numFmtId="171" fontId="50" fillId="25" borderId="46" xfId="2" applyNumberFormat="1" applyFont="1" applyFill="1" applyBorder="1" applyAlignment="1" applyProtection="1">
      <alignment horizontal="center" vertical="center"/>
      <protection locked="0"/>
    </xf>
    <xf numFmtId="169" fontId="50" fillId="25" borderId="46" xfId="1" applyNumberFormat="1" applyFont="1" applyFill="1" applyBorder="1" applyAlignment="1" applyProtection="1">
      <alignment vertical="center"/>
      <protection locked="0"/>
    </xf>
    <xf numFmtId="44" fontId="0" fillId="26" borderId="5" xfId="3" applyFont="1" applyFill="1" applyBorder="1" applyAlignment="1">
      <alignment horizontal="center" vertical="center"/>
    </xf>
    <xf numFmtId="44" fontId="51" fillId="25" borderId="46" xfId="3" applyFont="1" applyFill="1" applyBorder="1" applyAlignment="1" applyProtection="1">
      <alignment horizontal="center"/>
      <protection locked="0"/>
    </xf>
    <xf numFmtId="44" fontId="50" fillId="25" borderId="46" xfId="3" applyFont="1" applyFill="1" applyBorder="1" applyAlignment="1" applyProtection="1">
      <alignment vertical="center"/>
      <protection locked="0"/>
    </xf>
    <xf numFmtId="0" fontId="0" fillId="26" borderId="18" xfId="0" applyFill="1" applyBorder="1" applyAlignment="1">
      <alignment horizontal="center" vertical="center"/>
    </xf>
    <xf numFmtId="170" fontId="50" fillId="25" borderId="48" xfId="1" applyNumberFormat="1" applyFont="1" applyFill="1" applyBorder="1" applyAlignment="1" applyProtection="1">
      <alignment horizontal="center" vertical="center"/>
      <protection locked="0"/>
    </xf>
    <xf numFmtId="0" fontId="51" fillId="22" borderId="0" xfId="0" applyFont="1" applyFill="1" applyAlignment="1">
      <alignment horizontal="center"/>
    </xf>
    <xf numFmtId="0" fontId="51" fillId="22" borderId="30" xfId="0" applyFont="1" applyFill="1" applyBorder="1" applyAlignment="1">
      <alignment horizontal="center"/>
    </xf>
    <xf numFmtId="0" fontId="0" fillId="26" borderId="23" xfId="0" applyFill="1" applyBorder="1" applyAlignment="1">
      <alignment horizontal="center" vertical="center"/>
    </xf>
    <xf numFmtId="165" fontId="49" fillId="23" borderId="43" xfId="1" applyNumberFormat="1" applyFont="1" applyFill="1" applyBorder="1" applyAlignment="1" applyProtection="1">
      <alignment horizontal="center" vertical="center"/>
      <protection locked="0"/>
    </xf>
    <xf numFmtId="165" fontId="49" fillId="23" borderId="48" xfId="1" applyNumberFormat="1" applyFont="1" applyFill="1" applyBorder="1" applyAlignment="1" applyProtection="1">
      <alignment horizontal="center" vertical="center"/>
      <protection locked="0"/>
    </xf>
    <xf numFmtId="0" fontId="51" fillId="22" borderId="0" xfId="0" applyFont="1" applyFill="1"/>
    <xf numFmtId="0" fontId="51" fillId="22" borderId="30" xfId="0" applyFont="1" applyFill="1" applyBorder="1" applyProtection="1">
      <protection locked="0"/>
    </xf>
    <xf numFmtId="167" fontId="0" fillId="22" borderId="43" xfId="1" applyNumberFormat="1" applyFont="1" applyFill="1" applyBorder="1" applyAlignment="1" applyProtection="1">
      <alignment horizontal="center" vertical="center"/>
      <protection locked="0"/>
    </xf>
    <xf numFmtId="167" fontId="0" fillId="22" borderId="48" xfId="1" applyNumberFormat="1" applyFont="1" applyFill="1" applyBorder="1" applyAlignment="1" applyProtection="1">
      <alignment horizontal="center" vertical="center"/>
      <protection locked="0"/>
    </xf>
    <xf numFmtId="0" fontId="51" fillId="22" borderId="0" xfId="0" applyFont="1" applyFill="1" applyProtection="1">
      <protection locked="0"/>
    </xf>
    <xf numFmtId="165" fontId="49" fillId="0" borderId="53" xfId="1" applyNumberFormat="1" applyFont="1" applyBorder="1" applyAlignment="1" applyProtection="1">
      <alignment horizontal="center" vertical="center"/>
      <protection locked="0"/>
    </xf>
    <xf numFmtId="165" fontId="49" fillId="23" borderId="39" xfId="1" applyNumberFormat="1" applyFont="1" applyFill="1" applyBorder="1" applyAlignment="1" applyProtection="1">
      <alignment horizontal="center" vertical="center"/>
      <protection locked="0"/>
    </xf>
    <xf numFmtId="180" fontId="58" fillId="28" borderId="54" xfId="4" applyFont="1" applyFill="1" applyBorder="1"/>
    <xf numFmtId="180" fontId="36" fillId="28" borderId="0" xfId="4" applyFont="1" applyFill="1"/>
    <xf numFmtId="180" fontId="22" fillId="28" borderId="56" xfId="4" applyFont="1" applyFill="1" applyBorder="1" applyAlignment="1">
      <alignment horizontal="center" vertical="center" wrapText="1"/>
    </xf>
    <xf numFmtId="180" fontId="36" fillId="28" borderId="56" xfId="4" applyFont="1" applyFill="1" applyBorder="1" applyAlignment="1">
      <alignment horizontal="center" vertical="center" wrapText="1"/>
    </xf>
    <xf numFmtId="182" fontId="57" fillId="28" borderId="55" xfId="5" applyNumberFormat="1" applyFont="1" applyFill="1" applyBorder="1" applyAlignment="1" applyProtection="1">
      <alignment horizontal="center" vertical="center"/>
      <protection locked="0"/>
    </xf>
    <xf numFmtId="183" fontId="57" fillId="28" borderId="55" xfId="5" applyNumberFormat="1" applyFont="1" applyFill="1" applyBorder="1" applyAlignment="1" applyProtection="1">
      <alignment horizontal="center" vertical="center"/>
      <protection locked="0"/>
    </xf>
    <xf numFmtId="183" fontId="57" fillId="29" borderId="56" xfId="5" applyNumberFormat="1" applyFont="1" applyFill="1" applyBorder="1" applyAlignment="1" applyProtection="1">
      <alignment horizontal="center" vertical="center"/>
      <protection locked="0"/>
    </xf>
    <xf numFmtId="174" fontId="57" fillId="28" borderId="55" xfId="5" applyNumberFormat="1" applyFont="1" applyFill="1" applyBorder="1" applyAlignment="1" applyProtection="1">
      <alignment horizontal="center" vertical="center"/>
      <protection locked="0"/>
    </xf>
    <xf numFmtId="183" fontId="57" fillId="29" borderId="55" xfId="5" applyNumberFormat="1" applyFont="1" applyFill="1" applyBorder="1" applyAlignment="1" applyProtection="1">
      <alignment horizontal="center" vertical="center"/>
      <protection locked="0"/>
    </xf>
    <xf numFmtId="180" fontId="57" fillId="30" borderId="55" xfId="4" applyFont="1" applyFill="1" applyBorder="1" applyAlignment="1" applyProtection="1">
      <alignment horizontal="center" vertical="center"/>
      <protection locked="0"/>
    </xf>
    <xf numFmtId="180" fontId="57" fillId="0" borderId="55" xfId="4" applyBorder="1" applyAlignment="1" applyProtection="1">
      <alignment horizontal="center" vertical="center"/>
      <protection locked="0"/>
    </xf>
    <xf numFmtId="181" fontId="57" fillId="28" borderId="55" xfId="5" applyFont="1" applyFill="1" applyBorder="1" applyAlignment="1" applyProtection="1">
      <alignment horizontal="center" vertical="center"/>
      <protection locked="0"/>
    </xf>
    <xf numFmtId="180" fontId="57" fillId="0" borderId="56" xfId="4" applyBorder="1" applyAlignment="1" applyProtection="1">
      <alignment horizontal="center" vertical="center"/>
      <protection locked="0"/>
    </xf>
    <xf numFmtId="183" fontId="35" fillId="31" borderId="56" xfId="5" applyNumberFormat="1" applyFont="1" applyFill="1" applyBorder="1" applyAlignment="1" applyProtection="1">
      <alignment horizontal="center" vertical="center"/>
      <protection locked="0"/>
    </xf>
    <xf numFmtId="180" fontId="57" fillId="28" borderId="0" xfId="4" applyFont="1" applyFill="1" applyAlignment="1" applyProtection="1">
      <alignment horizontal="center"/>
      <protection locked="0"/>
    </xf>
    <xf numFmtId="183" fontId="57" fillId="28" borderId="57" xfId="5" applyNumberFormat="1" applyFont="1" applyFill="1" applyBorder="1" applyAlignment="1" applyProtection="1">
      <alignment horizontal="center"/>
      <protection locked="0"/>
    </xf>
    <xf numFmtId="181" fontId="57" fillId="28" borderId="56" xfId="5" applyFont="1" applyFill="1" applyBorder="1" applyAlignment="1" applyProtection="1">
      <alignment horizontal="center" vertical="center"/>
      <protection locked="0"/>
    </xf>
    <xf numFmtId="183" fontId="57" fillId="28" borderId="56" xfId="5" applyNumberFormat="1" applyFont="1" applyFill="1" applyBorder="1" applyAlignment="1" applyProtection="1">
      <alignment horizontal="center" vertical="center"/>
      <protection locked="0"/>
    </xf>
    <xf numFmtId="183" fontId="57" fillId="29" borderId="58" xfId="5" applyNumberFormat="1" applyFont="1" applyFill="1" applyBorder="1" applyAlignment="1" applyProtection="1">
      <alignment horizontal="center" vertical="center"/>
      <protection locked="0"/>
    </xf>
    <xf numFmtId="183" fontId="57" fillId="29" borderId="59" xfId="5" applyNumberFormat="1" applyFont="1" applyFill="1" applyBorder="1" applyAlignment="1" applyProtection="1">
      <alignment horizontal="center" vertical="center"/>
      <protection locked="0"/>
    </xf>
    <xf numFmtId="183" fontId="57" fillId="32" borderId="56" xfId="5" applyNumberFormat="1" applyFont="1" applyFill="1" applyBorder="1" applyAlignment="1" applyProtection="1">
      <alignment horizontal="center" vertical="center"/>
      <protection locked="0"/>
    </xf>
    <xf numFmtId="183" fontId="57" fillId="29" borderId="60" xfId="5" applyNumberFormat="1" applyFont="1" applyFill="1" applyBorder="1" applyAlignment="1" applyProtection="1">
      <alignment horizontal="center" vertical="center"/>
      <protection locked="0"/>
    </xf>
    <xf numFmtId="182" fontId="57" fillId="28" borderId="56" xfId="5" applyNumberFormat="1" applyFont="1" applyFill="1" applyBorder="1" applyAlignment="1" applyProtection="1">
      <alignment horizontal="center" vertical="center"/>
      <protection locked="0"/>
    </xf>
    <xf numFmtId="182" fontId="57" fillId="33" borderId="56" xfId="5" applyNumberFormat="1" applyFont="1" applyFill="1" applyBorder="1" applyAlignment="1" applyProtection="1">
      <alignment horizontal="center" vertical="center"/>
      <protection locked="0"/>
    </xf>
    <xf numFmtId="183" fontId="35" fillId="31" borderId="58" xfId="5" applyNumberFormat="1" applyFont="1" applyFill="1" applyBorder="1" applyAlignment="1" applyProtection="1">
      <alignment horizontal="center" vertical="center"/>
      <protection locked="0"/>
    </xf>
    <xf numFmtId="183" fontId="57" fillId="28" borderId="61" xfId="5" applyNumberFormat="1" applyFont="1" applyFill="1" applyBorder="1" applyAlignment="1" applyProtection="1">
      <alignment horizontal="center" vertical="center"/>
      <protection locked="0"/>
    </xf>
    <xf numFmtId="180" fontId="36" fillId="28" borderId="0" xfId="4" applyFont="1" applyFill="1" applyAlignment="1">
      <alignment horizontal="center" vertical="center"/>
    </xf>
    <xf numFmtId="180" fontId="36" fillId="28" borderId="57" xfId="4" applyFont="1" applyFill="1" applyBorder="1"/>
    <xf numFmtId="180" fontId="60" fillId="28" borderId="0" xfId="4" applyFont="1" applyFill="1" applyAlignment="1" applyProtection="1">
      <alignment horizontal="center"/>
      <protection locked="0"/>
    </xf>
    <xf numFmtId="180" fontId="60" fillId="28" borderId="57" xfId="4" applyFont="1" applyFill="1" applyBorder="1" applyAlignment="1" applyProtection="1">
      <alignment horizontal="center"/>
      <protection locked="0"/>
    </xf>
    <xf numFmtId="180" fontId="22" fillId="28" borderId="0" xfId="4" applyFont="1" applyFill="1" applyAlignment="1">
      <alignment horizontal="center" vertical="center"/>
    </xf>
    <xf numFmtId="180" fontId="22" fillId="28" borderId="62" xfId="4" applyFont="1" applyFill="1" applyBorder="1" applyAlignment="1">
      <alignment horizontal="center" vertical="center"/>
    </xf>
    <xf numFmtId="180" fontId="22" fillId="28" borderId="58" xfId="4" applyFont="1" applyFill="1" applyBorder="1" applyAlignment="1">
      <alignment horizontal="center" vertical="center"/>
    </xf>
    <xf numFmtId="180" fontId="57" fillId="34" borderId="56" xfId="4" applyFill="1" applyBorder="1" applyAlignment="1" applyProtection="1">
      <alignment horizontal="center" vertical="center"/>
      <protection locked="0"/>
    </xf>
    <xf numFmtId="184" fontId="57" fillId="28" borderId="56" xfId="5" applyNumberFormat="1" applyFont="1" applyFill="1" applyBorder="1" applyAlignment="1" applyProtection="1">
      <alignment horizontal="center" vertical="center"/>
      <protection locked="0"/>
    </xf>
    <xf numFmtId="180" fontId="57" fillId="0" borderId="63" xfId="4" applyBorder="1" applyAlignment="1" applyProtection="1">
      <alignment horizontal="center" vertical="center"/>
      <protection locked="0"/>
    </xf>
    <xf numFmtId="185" fontId="57" fillId="0" borderId="58" xfId="6" applyFont="1" applyFill="1" applyBorder="1" applyAlignment="1" applyProtection="1">
      <alignment horizontal="center" vertical="center"/>
      <protection locked="0"/>
    </xf>
    <xf numFmtId="180" fontId="57" fillId="34" borderId="56" xfId="4" applyFill="1" applyBorder="1" applyAlignment="1">
      <alignment horizontal="center" vertical="center"/>
    </xf>
    <xf numFmtId="180" fontId="36" fillId="28" borderId="64" xfId="4" applyFont="1" applyFill="1" applyBorder="1" applyAlignment="1">
      <alignment horizontal="center" vertical="center"/>
    </xf>
    <xf numFmtId="180" fontId="36" fillId="28" borderId="59" xfId="4" applyFont="1" applyFill="1" applyBorder="1"/>
    <xf numFmtId="185" fontId="57" fillId="28" borderId="56" xfId="6" applyFont="1" applyFill="1" applyBorder="1" applyAlignment="1" applyProtection="1">
      <alignment horizontal="center" vertical="center"/>
      <protection locked="0"/>
    </xf>
    <xf numFmtId="184" fontId="57" fillId="28" borderId="58" xfId="5" applyNumberFormat="1" applyFont="1" applyFill="1" applyBorder="1" applyAlignment="1" applyProtection="1">
      <alignment horizontal="center" vertical="center"/>
      <protection locked="0"/>
    </xf>
    <xf numFmtId="186" fontId="57" fillId="28" borderId="65" xfId="5" applyNumberFormat="1" applyFont="1" applyFill="1" applyBorder="1" applyAlignment="1" applyProtection="1">
      <alignment horizontal="center" vertical="center"/>
      <protection locked="0"/>
    </xf>
    <xf numFmtId="186" fontId="57" fillId="28" borderId="56" xfId="5" applyNumberFormat="1" applyFont="1" applyFill="1" applyBorder="1" applyAlignment="1" applyProtection="1">
      <alignment horizontal="center" vertical="center"/>
      <protection locked="0"/>
    </xf>
    <xf numFmtId="180" fontId="57" fillId="28" borderId="56" xfId="4" applyFill="1" applyBorder="1" applyAlignment="1" applyProtection="1">
      <alignment horizontal="center" vertical="center"/>
      <protection locked="0"/>
    </xf>
    <xf numFmtId="180" fontId="57" fillId="28" borderId="56" xfId="4" applyFont="1" applyFill="1" applyBorder="1" applyAlignment="1" applyProtection="1">
      <alignment horizontal="center" vertical="center"/>
      <protection locked="0"/>
    </xf>
    <xf numFmtId="180" fontId="61" fillId="28" borderId="56" xfId="4" applyFont="1" applyFill="1" applyBorder="1" applyAlignment="1" applyProtection="1">
      <alignment horizontal="center" vertical="center"/>
      <protection locked="0"/>
    </xf>
    <xf numFmtId="180" fontId="35" fillId="31" borderId="55" xfId="4" applyFont="1" applyFill="1" applyBorder="1" applyAlignment="1" applyProtection="1">
      <alignment horizontal="center" vertical="center"/>
      <protection locked="0"/>
    </xf>
    <xf numFmtId="187" fontId="35" fillId="31" borderId="55" xfId="5" applyNumberFormat="1" applyFont="1" applyFill="1" applyBorder="1" applyAlignment="1" applyProtection="1">
      <alignment vertical="center"/>
      <protection locked="0"/>
    </xf>
    <xf numFmtId="180" fontId="35" fillId="31" borderId="56" xfId="4" applyFont="1" applyFill="1" applyBorder="1" applyAlignment="1" applyProtection="1">
      <alignment horizontal="center" vertical="center"/>
      <protection locked="0"/>
    </xf>
    <xf numFmtId="188" fontId="35" fillId="31" borderId="56" xfId="5" applyNumberFormat="1" applyFont="1" applyFill="1" applyBorder="1" applyAlignment="1" applyProtection="1">
      <alignment horizontal="center" vertical="center"/>
      <protection locked="0"/>
    </xf>
    <xf numFmtId="180" fontId="62" fillId="28" borderId="0" xfId="4" applyFont="1" applyFill="1" applyAlignment="1" applyProtection="1">
      <alignment horizontal="center"/>
      <protection locked="0"/>
    </xf>
    <xf numFmtId="180" fontId="57" fillId="34" borderId="55" xfId="4" applyFill="1" applyBorder="1" applyAlignment="1">
      <alignment horizontal="center" vertical="center"/>
    </xf>
    <xf numFmtId="171" fontId="57" fillId="35" borderId="56" xfId="6" applyNumberFormat="1" applyFont="1" applyFill="1" applyBorder="1" applyAlignment="1" applyProtection="1">
      <alignment horizontal="center"/>
    </xf>
    <xf numFmtId="189" fontId="57" fillId="28" borderId="56" xfId="4" applyNumberFormat="1" applyFont="1" applyFill="1" applyBorder="1" applyAlignment="1" applyProtection="1">
      <alignment horizontal="center" vertical="center"/>
      <protection locked="0"/>
    </xf>
    <xf numFmtId="171" fontId="35" fillId="31" borderId="56" xfId="6" applyNumberFormat="1" applyFont="1" applyFill="1" applyBorder="1" applyAlignment="1" applyProtection="1">
      <alignment horizontal="center" vertical="center"/>
      <protection locked="0"/>
    </xf>
    <xf numFmtId="187" fontId="35" fillId="31" borderId="56" xfId="5" applyNumberFormat="1" applyFont="1" applyFill="1" applyBorder="1" applyAlignment="1" applyProtection="1">
      <alignment vertical="center"/>
      <protection locked="0"/>
    </xf>
    <xf numFmtId="182" fontId="36" fillId="31" borderId="56" xfId="7" applyFont="1" applyFill="1" applyBorder="1" applyAlignment="1" applyProtection="1">
      <alignment horizontal="center"/>
      <protection locked="0"/>
    </xf>
    <xf numFmtId="182" fontId="35" fillId="31" borderId="56" xfId="7" applyFont="1" applyFill="1" applyBorder="1" applyAlignment="1" applyProtection="1">
      <alignment vertical="center"/>
      <protection locked="0"/>
    </xf>
    <xf numFmtId="180" fontId="36" fillId="28" borderId="0" xfId="4" applyFont="1" applyFill="1" applyAlignment="1">
      <alignment horizontal="center"/>
    </xf>
    <xf numFmtId="180" fontId="36" fillId="28" borderId="57" xfId="4" applyFont="1" applyFill="1" applyBorder="1" applyAlignment="1">
      <alignment horizontal="center"/>
    </xf>
    <xf numFmtId="180" fontId="36" fillId="28" borderId="57" xfId="4" applyFont="1" applyFill="1" applyBorder="1" applyProtection="1">
      <protection locked="0"/>
    </xf>
    <xf numFmtId="180" fontId="36" fillId="28" borderId="0" xfId="4" applyFont="1" applyFill="1" applyProtection="1">
      <protection locked="0"/>
    </xf>
    <xf numFmtId="183" fontId="57" fillId="0" borderId="56" xfId="5" applyNumberFormat="1" applyFont="1" applyFill="1" applyBorder="1" applyAlignment="1" applyProtection="1">
      <alignment horizontal="center" vertical="center"/>
      <protection locked="0"/>
    </xf>
    <xf numFmtId="165" fontId="1" fillId="0" borderId="16" xfId="1" applyNumberFormat="1" applyFont="1" applyFill="1" applyBorder="1" applyAlignment="1" applyProtection="1">
      <alignment horizontal="center" vertical="center"/>
      <protection locked="0"/>
    </xf>
    <xf numFmtId="164" fontId="0" fillId="36" borderId="5" xfId="1" applyNumberFormat="1" applyFont="1" applyFill="1" applyBorder="1" applyAlignment="1" applyProtection="1">
      <alignment horizontal="center" vertical="center"/>
      <protection locked="0"/>
    </xf>
    <xf numFmtId="44" fontId="0" fillId="37" borderId="5" xfId="3" applyFont="1" applyFill="1" applyBorder="1" applyAlignment="1">
      <alignment horizontal="center" vertical="center"/>
    </xf>
    <xf numFmtId="0" fontId="39" fillId="2" borderId="1" xfId="0" applyFont="1" applyFill="1" applyBorder="1"/>
    <xf numFmtId="44" fontId="0" fillId="16" borderId="27" xfId="3" applyFont="1" applyFill="1" applyBorder="1" applyAlignment="1" applyProtection="1">
      <alignment horizontal="center" vertical="center"/>
      <protection locked="0"/>
    </xf>
    <xf numFmtId="0" fontId="63" fillId="2" borderId="1" xfId="0" applyFont="1" applyFill="1" applyBorder="1"/>
    <xf numFmtId="8" fontId="0" fillId="2" borderId="5" xfId="1" applyNumberFormat="1" applyFont="1" applyFill="1" applyBorder="1" applyAlignment="1" applyProtection="1">
      <alignment horizontal="center" vertical="center"/>
      <protection locked="0"/>
    </xf>
    <xf numFmtId="44" fontId="0" fillId="36" borderId="5" xfId="1" applyNumberFormat="1" applyFont="1" applyFill="1" applyBorder="1" applyAlignment="1" applyProtection="1">
      <alignment horizontal="center" vertical="center"/>
      <protection locked="0"/>
    </xf>
    <xf numFmtId="44" fontId="2" fillId="17" borderId="46" xfId="3" applyFont="1" applyFill="1" applyBorder="1" applyAlignment="1" applyProtection="1">
      <alignment vertical="center"/>
      <protection locked="0"/>
    </xf>
    <xf numFmtId="180" fontId="0" fillId="16" borderId="18" xfId="0" applyNumberFormat="1" applyFill="1" applyBorder="1" applyAlignment="1">
      <alignment horizontal="center" vertical="center"/>
    </xf>
    <xf numFmtId="43" fontId="36" fillId="28" borderId="0" xfId="1" applyFont="1" applyFill="1"/>
    <xf numFmtId="43" fontId="36" fillId="38" borderId="0" xfId="1" applyFont="1" applyFill="1"/>
    <xf numFmtId="165" fontId="0" fillId="3" borderId="12" xfId="1" applyNumberFormat="1" applyFont="1" applyFill="1" applyBorder="1" applyAlignment="1" applyProtection="1">
      <alignment horizontal="center" vertical="center"/>
      <protection locked="0"/>
    </xf>
    <xf numFmtId="165" fontId="0" fillId="16" borderId="25" xfId="0" applyNumberFormat="1" applyFill="1" applyBorder="1" applyAlignment="1">
      <alignment horizontal="center" vertical="center"/>
    </xf>
    <xf numFmtId="44" fontId="6" fillId="0" borderId="47" xfId="3" applyFont="1" applyBorder="1"/>
    <xf numFmtId="0" fontId="64" fillId="17" borderId="47" xfId="0" applyFont="1" applyFill="1" applyBorder="1"/>
    <xf numFmtId="44" fontId="4" fillId="2" borderId="1" xfId="0" applyNumberFormat="1" applyFont="1" applyFill="1" applyBorder="1"/>
    <xf numFmtId="43" fontId="0" fillId="37" borderId="27" xfId="1" applyFont="1" applyFill="1" applyBorder="1" applyAlignment="1" applyProtection="1">
      <alignment horizontal="center" vertical="center"/>
      <protection locked="0"/>
    </xf>
    <xf numFmtId="43" fontId="0" fillId="37" borderId="26" xfId="1" applyFont="1" applyFill="1" applyBorder="1" applyAlignment="1" applyProtection="1">
      <alignment horizontal="center" vertical="center"/>
      <protection locked="0"/>
    </xf>
    <xf numFmtId="0" fontId="64" fillId="39" borderId="47" xfId="0" applyFont="1" applyFill="1" applyBorder="1"/>
    <xf numFmtId="0" fontId="64" fillId="13" borderId="47" xfId="0" applyFont="1" applyFill="1" applyBorder="1"/>
    <xf numFmtId="165" fontId="64" fillId="39" borderId="47" xfId="1" applyNumberFormat="1" applyFont="1" applyFill="1" applyBorder="1"/>
    <xf numFmtId="0" fontId="6" fillId="40" borderId="0" xfId="0" applyFont="1" applyFill="1"/>
    <xf numFmtId="0" fontId="64" fillId="3" borderId="0" xfId="0" applyFont="1" applyFill="1" applyBorder="1"/>
    <xf numFmtId="165" fontId="64" fillId="13" borderId="47" xfId="0" applyNumberFormat="1" applyFont="1" applyFill="1" applyBorder="1"/>
    <xf numFmtId="0" fontId="66" fillId="15" borderId="17" xfId="0" applyFont="1" applyFill="1" applyBorder="1" applyAlignment="1">
      <alignment vertical="center"/>
    </xf>
    <xf numFmtId="9" fontId="66" fillId="15" borderId="17" xfId="2" applyNumberFormat="1" applyFont="1" applyFill="1" applyBorder="1" applyAlignment="1">
      <alignment vertical="center"/>
    </xf>
    <xf numFmtId="0" fontId="68" fillId="0" borderId="0" xfId="0" applyFont="1"/>
    <xf numFmtId="0" fontId="22" fillId="41" borderId="47" xfId="0" applyFont="1" applyFill="1" applyBorder="1"/>
    <xf numFmtId="0" fontId="6" fillId="41" borderId="47" xfId="0" applyFont="1" applyFill="1" applyBorder="1"/>
    <xf numFmtId="171" fontId="35" fillId="41" borderId="47" xfId="2" applyNumberFormat="1" applyFont="1" applyFill="1" applyBorder="1"/>
    <xf numFmtId="10" fontId="35" fillId="41" borderId="47" xfId="2" applyNumberFormat="1" applyFont="1" applyFill="1" applyBorder="1"/>
    <xf numFmtId="171" fontId="40" fillId="41" borderId="47" xfId="2" applyNumberFormat="1" applyFont="1" applyFill="1" applyBorder="1" applyAlignment="1" applyProtection="1"/>
    <xf numFmtId="171" fontId="50" fillId="41" borderId="47" xfId="2" applyNumberFormat="1" applyFont="1" applyFill="1" applyBorder="1"/>
    <xf numFmtId="171" fontId="35" fillId="41" borderId="47" xfId="6" applyNumberFormat="1" applyFont="1" applyFill="1" applyBorder="1" applyAlignment="1" applyProtection="1"/>
    <xf numFmtId="43" fontId="64" fillId="13" borderId="47" xfId="0" applyNumberFormat="1" applyFont="1" applyFill="1" applyBorder="1"/>
    <xf numFmtId="44" fontId="64" fillId="13" borderId="47" xfId="3" applyFont="1" applyFill="1" applyBorder="1"/>
    <xf numFmtId="165" fontId="1" fillId="3" borderId="31" xfId="1" applyNumberFormat="1" applyFont="1" applyFill="1" applyBorder="1" applyAlignment="1" applyProtection="1">
      <alignment horizontal="center" vertical="center"/>
      <protection locked="0"/>
    </xf>
    <xf numFmtId="165" fontId="1" fillId="3" borderId="36" xfId="1" applyNumberFormat="1" applyFont="1" applyFill="1" applyBorder="1" applyAlignment="1" applyProtection="1">
      <alignment horizontal="center" vertical="center"/>
      <protection locked="0"/>
    </xf>
    <xf numFmtId="0" fontId="0" fillId="16" borderId="66" xfId="0" applyFill="1" applyBorder="1" applyAlignment="1" applyProtection="1">
      <alignment horizontal="center" vertical="center"/>
      <protection locked="0"/>
    </xf>
    <xf numFmtId="0" fontId="0" fillId="16" borderId="67" xfId="0" applyFill="1" applyBorder="1" applyAlignment="1">
      <alignment horizontal="center" vertical="center"/>
    </xf>
    <xf numFmtId="0" fontId="0" fillId="0" borderId="47" xfId="0" applyBorder="1"/>
    <xf numFmtId="165" fontId="1" fillId="15" borderId="68" xfId="1" applyNumberFormat="1" applyFont="1" applyFill="1" applyBorder="1" applyAlignment="1" applyProtection="1">
      <alignment horizontal="center" vertical="center"/>
      <protection locked="0"/>
    </xf>
    <xf numFmtId="44" fontId="0" fillId="2" borderId="36" xfId="1" applyNumberFormat="1" applyFont="1" applyFill="1" applyBorder="1" applyAlignment="1" applyProtection="1">
      <alignment horizontal="center" vertical="center"/>
      <protection locked="0"/>
    </xf>
    <xf numFmtId="43" fontId="1" fillId="3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38" xfId="1" applyNumberFormat="1" applyFont="1" applyFill="1" applyBorder="1" applyAlignment="1" applyProtection="1">
      <alignment horizontal="center" vertical="center"/>
      <protection locked="0"/>
    </xf>
    <xf numFmtId="0" fontId="7" fillId="2" borderId="6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6" fillId="0" borderId="47" xfId="0" applyFont="1" applyBorder="1"/>
    <xf numFmtId="0" fontId="0" fillId="0" borderId="70" xfId="0" applyBorder="1" applyAlignment="1">
      <alignment horizontal="center"/>
    </xf>
    <xf numFmtId="9" fontId="0" fillId="3" borderId="43" xfId="2" applyFont="1" applyFill="1" applyBorder="1" applyAlignment="1" applyProtection="1">
      <alignment horizontal="center" vertical="center"/>
      <protection locked="0"/>
    </xf>
    <xf numFmtId="168" fontId="0" fillId="0" borderId="46" xfId="0" applyNumberFormat="1" applyBorder="1" applyAlignment="1" applyProtection="1">
      <alignment horizontal="center" vertical="center"/>
      <protection locked="0"/>
    </xf>
    <xf numFmtId="43" fontId="64" fillId="13" borderId="50" xfId="0" applyNumberFormat="1" applyFont="1" applyFill="1" applyBorder="1"/>
    <xf numFmtId="165" fontId="64" fillId="13" borderId="50" xfId="0" applyNumberFormat="1" applyFont="1" applyFill="1" applyBorder="1"/>
    <xf numFmtId="165" fontId="64" fillId="13" borderId="43" xfId="0" applyNumberFormat="1" applyFont="1" applyFill="1" applyBorder="1"/>
    <xf numFmtId="165" fontId="64" fillId="13" borderId="46" xfId="0" applyNumberFormat="1" applyFont="1" applyFill="1" applyBorder="1"/>
    <xf numFmtId="165" fontId="64" fillId="13" borderId="48" xfId="0" applyNumberFormat="1" applyFont="1" applyFill="1" applyBorder="1"/>
    <xf numFmtId="190" fontId="64" fillId="13" borderId="47" xfId="3" applyNumberFormat="1" applyFont="1" applyFill="1" applyBorder="1"/>
    <xf numFmtId="190" fontId="64" fillId="13" borderId="47" xfId="0" applyNumberFormat="1" applyFont="1" applyFill="1" applyBorder="1"/>
    <xf numFmtId="190" fontId="64" fillId="13" borderId="50" xfId="0" applyNumberFormat="1" applyFont="1" applyFill="1" applyBorder="1"/>
    <xf numFmtId="44" fontId="2" fillId="5" borderId="18" xfId="3" applyFont="1" applyFill="1" applyBorder="1" applyAlignment="1" applyProtection="1">
      <alignment horizontal="center" vertical="center"/>
      <protection locked="0"/>
    </xf>
    <xf numFmtId="44" fontId="0" fillId="16" borderId="26" xfId="3" applyFont="1" applyFill="1" applyBorder="1" applyAlignment="1" applyProtection="1">
      <alignment horizontal="center" vertical="center"/>
      <protection locked="0"/>
    </xf>
    <xf numFmtId="44" fontId="0" fillId="37" borderId="25" xfId="3" applyFont="1" applyFill="1" applyBorder="1" applyAlignment="1">
      <alignment horizontal="center" vertical="center"/>
    </xf>
    <xf numFmtId="44" fontId="2" fillId="17" borderId="42" xfId="3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 wrapText="1"/>
      <protection locked="0"/>
    </xf>
    <xf numFmtId="0" fontId="25" fillId="3" borderId="28" xfId="0" applyFont="1" applyFill="1" applyBorder="1" applyAlignment="1" applyProtection="1">
      <alignment horizontal="center" vertical="center" wrapText="1"/>
      <protection locked="0"/>
    </xf>
    <xf numFmtId="0" fontId="25" fillId="3" borderId="29" xfId="0" applyFont="1" applyFill="1" applyBorder="1" applyAlignment="1" applyProtection="1">
      <alignment horizontal="center" vertical="center" wrapText="1"/>
      <protection locked="0"/>
    </xf>
    <xf numFmtId="180" fontId="59" fillId="28" borderId="55" xfId="4" applyFont="1" applyFill="1" applyBorder="1" applyAlignment="1" applyProtection="1">
      <alignment horizontal="center" vertical="center" wrapText="1"/>
      <protection locked="0"/>
    </xf>
    <xf numFmtId="0" fontId="37" fillId="2" borderId="52" xfId="0" applyFont="1" applyFill="1" applyBorder="1" applyAlignment="1" applyProtection="1">
      <alignment horizontal="center" vertical="center" wrapText="1"/>
      <protection locked="0"/>
    </xf>
    <xf numFmtId="0" fontId="46" fillId="22" borderId="20" xfId="0" applyFont="1" applyFill="1" applyBorder="1" applyAlignment="1" applyProtection="1">
      <alignment horizontal="center" vertical="center" wrapText="1"/>
      <protection locked="0"/>
    </xf>
    <xf numFmtId="0" fontId="46" fillId="22" borderId="28" xfId="0" applyFont="1" applyFill="1" applyBorder="1" applyAlignment="1" applyProtection="1">
      <alignment horizontal="center" vertical="center" wrapText="1"/>
      <protection locked="0"/>
    </xf>
    <xf numFmtId="0" fontId="46" fillId="22" borderId="29" xfId="0" applyFont="1" applyFill="1" applyBorder="1" applyAlignment="1" applyProtection="1">
      <alignment horizontal="center" vertical="center" wrapText="1"/>
      <protection locked="0"/>
    </xf>
    <xf numFmtId="0" fontId="64" fillId="13" borderId="10" xfId="0" applyFont="1" applyFill="1" applyBorder="1" applyAlignment="1">
      <alignment horizontal="center"/>
    </xf>
    <xf numFmtId="0" fontId="64" fillId="13" borderId="71" xfId="0" applyFont="1" applyFill="1" applyBorder="1" applyAlignment="1">
      <alignment horizontal="center"/>
    </xf>
    <xf numFmtId="0" fontId="64" fillId="13" borderId="6" xfId="0" applyFont="1" applyFill="1" applyBorder="1" applyAlignment="1">
      <alignment horizontal="center"/>
    </xf>
    <xf numFmtId="0" fontId="64" fillId="13" borderId="45" xfId="0" applyFont="1" applyFill="1" applyBorder="1" applyAlignment="1">
      <alignment horizontal="center"/>
    </xf>
    <xf numFmtId="0" fontId="64" fillId="13" borderId="17" xfId="0" applyFont="1" applyFill="1" applyBorder="1" applyAlignment="1">
      <alignment horizontal="center"/>
    </xf>
    <xf numFmtId="0" fontId="64" fillId="13" borderId="67" xfId="0" applyFont="1" applyFill="1" applyBorder="1" applyAlignment="1">
      <alignment horizontal="center"/>
    </xf>
  </cellXfs>
  <cellStyles count="8">
    <cellStyle name="Excel Built-in Comma" xfId="5" xr:uid="{00000000-0005-0000-0000-000000000000}"/>
    <cellStyle name="Excel Built-in Currency" xfId="7" xr:uid="{00000000-0005-0000-0000-000001000000}"/>
    <cellStyle name="Excel Built-in Normal" xfId="4" xr:uid="{00000000-0005-0000-0000-000002000000}"/>
    <cellStyle name="Excel Built-in Percent" xfId="6" xr:uid="{00000000-0005-0000-0000-000003000000}"/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tabSelected="1" workbookViewId="0">
      <pane xSplit="1" ySplit="4" topLeftCell="C23" activePane="bottomRight" state="frozen"/>
      <selection pane="topRight" activeCell="B1" sqref="B1"/>
      <selection pane="bottomLeft" activeCell="A5" sqref="A5"/>
      <selection pane="bottomRight" activeCell="G25" sqref="G25"/>
    </sheetView>
  </sheetViews>
  <sheetFormatPr defaultColWidth="19.140625" defaultRowHeight="15.75" x14ac:dyDescent="0.25"/>
  <cols>
    <col min="1" max="1" width="49.28515625" style="3" customWidth="1"/>
    <col min="2" max="6" width="19.140625" style="25"/>
    <col min="7" max="17" width="19.140625" style="4"/>
    <col min="18" max="20" width="19.140625" style="284"/>
    <col min="21" max="23" width="19.140625" style="380"/>
    <col min="24" max="38" width="19.140625" style="4"/>
  </cols>
  <sheetData>
    <row r="1" spans="1:38" ht="21.75" thickBot="1" x14ac:dyDescent="0.4">
      <c r="A1" s="1"/>
      <c r="B1" s="2" t="s">
        <v>93</v>
      </c>
      <c r="C1" s="446" t="s">
        <v>94</v>
      </c>
      <c r="D1" s="164"/>
      <c r="E1" s="164"/>
      <c r="F1" s="164"/>
      <c r="G1" s="448" t="s">
        <v>106</v>
      </c>
      <c r="H1" s="164"/>
      <c r="I1" s="164"/>
      <c r="J1" s="164"/>
      <c r="K1" s="164"/>
      <c r="L1" s="164"/>
      <c r="M1" s="164"/>
      <c r="N1" s="164"/>
      <c r="O1" s="459"/>
      <c r="P1" s="164"/>
      <c r="Q1" s="164"/>
      <c r="R1" s="283"/>
      <c r="S1" s="283"/>
      <c r="T1" s="283"/>
      <c r="U1" s="379"/>
      <c r="V1" s="379"/>
      <c r="W1" s="379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</row>
    <row r="2" spans="1:38" ht="17.25" thickTop="1" thickBot="1" x14ac:dyDescent="0.3">
      <c r="B2" s="4"/>
      <c r="C2" s="59"/>
      <c r="D2" s="60"/>
      <c r="E2" s="60"/>
      <c r="F2" s="60"/>
    </row>
    <row r="3" spans="1:38" ht="32.25" customHeight="1" thickBot="1" x14ac:dyDescent="0.3">
      <c r="B3" s="5" t="s">
        <v>0</v>
      </c>
      <c r="C3" s="509" t="s">
        <v>89</v>
      </c>
      <c r="D3" s="510"/>
      <c r="E3" s="511"/>
      <c r="F3" s="509" t="s">
        <v>107</v>
      </c>
      <c r="G3" s="510"/>
      <c r="H3" s="511"/>
      <c r="I3" s="513" t="s">
        <v>95</v>
      </c>
      <c r="J3" s="513"/>
      <c r="K3" s="513"/>
      <c r="L3" s="509" t="s">
        <v>96</v>
      </c>
      <c r="M3" s="510"/>
      <c r="N3" s="511"/>
      <c r="O3" s="509" t="s">
        <v>97</v>
      </c>
      <c r="P3" s="510"/>
      <c r="Q3" s="511"/>
      <c r="R3" s="514" t="s">
        <v>98</v>
      </c>
      <c r="S3" s="515"/>
      <c r="T3" s="516"/>
      <c r="U3" s="512" t="s">
        <v>99</v>
      </c>
      <c r="V3" s="512"/>
      <c r="W3" s="512"/>
      <c r="X3" s="509" t="s">
        <v>102</v>
      </c>
      <c r="Y3" s="510"/>
      <c r="Z3" s="511"/>
      <c r="AA3" s="509" t="s">
        <v>103</v>
      </c>
      <c r="AB3" s="510"/>
      <c r="AC3" s="511"/>
      <c r="AD3" s="509" t="s">
        <v>104</v>
      </c>
      <c r="AE3" s="510"/>
      <c r="AF3" s="511"/>
      <c r="AG3" s="509" t="s">
        <v>105</v>
      </c>
      <c r="AH3" s="510"/>
      <c r="AI3" s="511"/>
      <c r="AJ3" s="509" t="s">
        <v>108</v>
      </c>
      <c r="AK3" s="510"/>
      <c r="AL3" s="511"/>
    </row>
    <row r="4" spans="1:38" ht="67.5" x14ac:dyDescent="0.25">
      <c r="B4" s="6" t="s">
        <v>1</v>
      </c>
      <c r="C4" s="61" t="s">
        <v>90</v>
      </c>
      <c r="D4" s="62" t="s">
        <v>91</v>
      </c>
      <c r="E4" s="62" t="s">
        <v>92</v>
      </c>
      <c r="F4" s="61" t="s">
        <v>90</v>
      </c>
      <c r="G4" s="62" t="s">
        <v>91</v>
      </c>
      <c r="H4" s="62" t="s">
        <v>92</v>
      </c>
      <c r="I4" s="165" t="s">
        <v>90</v>
      </c>
      <c r="J4" s="166" t="s">
        <v>91</v>
      </c>
      <c r="K4" s="166" t="s">
        <v>92</v>
      </c>
      <c r="L4" s="61" t="s">
        <v>90</v>
      </c>
      <c r="M4" s="62" t="s">
        <v>91</v>
      </c>
      <c r="N4" s="62" t="s">
        <v>92</v>
      </c>
      <c r="O4" s="61" t="s">
        <v>90</v>
      </c>
      <c r="P4" s="62" t="s">
        <v>91</v>
      </c>
      <c r="Q4" s="62" t="s">
        <v>92</v>
      </c>
      <c r="R4" s="285" t="s">
        <v>90</v>
      </c>
      <c r="S4" s="286" t="s">
        <v>91</v>
      </c>
      <c r="T4" s="286" t="s">
        <v>92</v>
      </c>
      <c r="U4" s="381" t="s">
        <v>100</v>
      </c>
      <c r="V4" s="382" t="s">
        <v>101</v>
      </c>
      <c r="W4" s="382" t="s">
        <v>92</v>
      </c>
      <c r="X4" s="61" t="s">
        <v>90</v>
      </c>
      <c r="Y4" s="62" t="s">
        <v>91</v>
      </c>
      <c r="Z4" s="62" t="s">
        <v>92</v>
      </c>
      <c r="AA4" s="61" t="s">
        <v>90</v>
      </c>
      <c r="AB4" s="62" t="s">
        <v>91</v>
      </c>
      <c r="AC4" s="62" t="s">
        <v>92</v>
      </c>
      <c r="AD4" s="61" t="s">
        <v>90</v>
      </c>
      <c r="AE4" s="62" t="s">
        <v>91</v>
      </c>
      <c r="AF4" s="62" t="s">
        <v>92</v>
      </c>
      <c r="AG4" s="61" t="s">
        <v>90</v>
      </c>
      <c r="AH4" s="62" t="s">
        <v>91</v>
      </c>
      <c r="AI4" s="62" t="s">
        <v>92</v>
      </c>
      <c r="AJ4" s="61" t="s">
        <v>90</v>
      </c>
      <c r="AK4" s="62" t="s">
        <v>91</v>
      </c>
      <c r="AL4" s="62" t="s">
        <v>92</v>
      </c>
    </row>
    <row r="5" spans="1:38" x14ac:dyDescent="0.25">
      <c r="A5" s="7" t="s">
        <v>2</v>
      </c>
      <c r="B5" s="8" t="s">
        <v>3</v>
      </c>
      <c r="C5" s="63">
        <v>38230.465208338101</v>
      </c>
      <c r="D5" s="64"/>
      <c r="E5" s="65">
        <f t="shared" ref="E5:E10" si="0">C5+D5</f>
        <v>38230.465208338101</v>
      </c>
      <c r="F5" s="63">
        <v>791507.50744511199</v>
      </c>
      <c r="G5" s="64"/>
      <c r="H5" s="65">
        <f t="shared" ref="H5:H10" si="1">F5+G5</f>
        <v>791507.50744511199</v>
      </c>
      <c r="I5" s="63">
        <v>25584.8327709472</v>
      </c>
      <c r="J5" s="167">
        <v>1350</v>
      </c>
      <c r="K5" s="168">
        <f t="shared" ref="K5:K10" si="2">I5+J5</f>
        <v>26934.8327709472</v>
      </c>
      <c r="L5" s="63">
        <v>100291.15059460299</v>
      </c>
      <c r="M5" s="64"/>
      <c r="N5" s="65">
        <f t="shared" ref="N5:N10" si="3">L5+M5</f>
        <v>100291.15059460299</v>
      </c>
      <c r="O5" s="63">
        <v>59368.140163037599</v>
      </c>
      <c r="P5" s="64"/>
      <c r="Q5" s="258">
        <f t="shared" ref="Q5:Q10" si="4">O5+P5</f>
        <v>59368.140163037599</v>
      </c>
      <c r="R5" s="287">
        <v>31984.996274740301</v>
      </c>
      <c r="S5" s="288"/>
      <c r="T5" s="289">
        <f t="shared" ref="T5:T10" si="5">R5+S5</f>
        <v>31984.996274740301</v>
      </c>
      <c r="U5" s="383">
        <v>237309.28799269701</v>
      </c>
      <c r="V5" s="384"/>
      <c r="W5" s="385">
        <f t="shared" ref="W5:W10" si="6">U5+V5</f>
        <v>237309.28799269701</v>
      </c>
      <c r="X5" s="63">
        <v>46332.928938442798</v>
      </c>
      <c r="Y5" s="64"/>
      <c r="Z5" s="65">
        <f t="shared" ref="Z5:Z10" si="7">X5+Y5</f>
        <v>46332.928938442798</v>
      </c>
      <c r="AA5" s="63">
        <v>744210.22038548603</v>
      </c>
      <c r="AB5" s="64">
        <v>66967</v>
      </c>
      <c r="AC5" s="65">
        <f t="shared" ref="AC5:AC10" si="8">AA5+AB5</f>
        <v>811177.22038548603</v>
      </c>
      <c r="AD5" s="63">
        <v>116535.070646805</v>
      </c>
      <c r="AE5" s="64">
        <v>15437</v>
      </c>
      <c r="AF5" s="65">
        <f t="shared" ref="AF5:AF10" si="9">AD5+AE5</f>
        <v>131972.07064680499</v>
      </c>
      <c r="AG5" s="63">
        <v>25918.096128179299</v>
      </c>
      <c r="AH5" s="64"/>
      <c r="AI5" s="65">
        <f t="shared" ref="AI5:AI10" si="10">AG5+AH5</f>
        <v>25918.096128179299</v>
      </c>
      <c r="AJ5" s="63">
        <f>AG5+AD5+AA5+X5+U5+R5+O5+L5+I5+F5+C5</f>
        <v>2217272.6965483883</v>
      </c>
      <c r="AK5" s="63">
        <f>AH5+AE5+AB5+Y5+V5+S5+P5+M5+J5+G5+D5</f>
        <v>83754</v>
      </c>
      <c r="AL5" s="63">
        <f>AI5+AF5+AC5+Z5+W5+T5+Q5+N5+K5+H5+E5</f>
        <v>2301026.6965483883</v>
      </c>
    </row>
    <row r="6" spans="1:38" x14ac:dyDescent="0.25">
      <c r="A6" s="7" t="s">
        <v>4</v>
      </c>
      <c r="B6" s="8" t="s">
        <v>3</v>
      </c>
      <c r="C6" s="66">
        <v>56209.683546063738</v>
      </c>
      <c r="D6" s="64"/>
      <c r="E6" s="65">
        <f t="shared" si="0"/>
        <v>56209.683546063738</v>
      </c>
      <c r="F6" s="66">
        <v>1791335.9781033818</v>
      </c>
      <c r="G6" s="64"/>
      <c r="H6" s="65">
        <f t="shared" si="1"/>
        <v>1791335.9781033818</v>
      </c>
      <c r="I6" s="169">
        <v>31459.268103583901</v>
      </c>
      <c r="J6" s="167"/>
      <c r="K6" s="168">
        <f t="shared" si="2"/>
        <v>31459.268103583901</v>
      </c>
      <c r="L6" s="66">
        <v>166812.13489752647</v>
      </c>
      <c r="M6" s="64"/>
      <c r="N6" s="65">
        <f t="shared" si="3"/>
        <v>166812.13489752647</v>
      </c>
      <c r="O6" s="66">
        <v>104059.86802465911</v>
      </c>
      <c r="P6" s="64"/>
      <c r="Q6" s="258">
        <f t="shared" si="4"/>
        <v>104059.86802465911</v>
      </c>
      <c r="R6" s="290">
        <v>55450.206199287022</v>
      </c>
      <c r="S6" s="288"/>
      <c r="T6" s="289">
        <f t="shared" si="5"/>
        <v>55450.206199287022</v>
      </c>
      <c r="U6" s="386">
        <v>484583.58392969699</v>
      </c>
      <c r="V6" s="384"/>
      <c r="W6" s="385">
        <f t="shared" si="6"/>
        <v>484583.58392969699</v>
      </c>
      <c r="X6" s="66">
        <v>57699.411031678661</v>
      </c>
      <c r="Y6" s="64"/>
      <c r="Z6" s="65">
        <f t="shared" si="7"/>
        <v>57699.411031678661</v>
      </c>
      <c r="AA6" s="66">
        <v>1347589.0166844765</v>
      </c>
      <c r="AB6" s="64">
        <v>7498</v>
      </c>
      <c r="AC6" s="65">
        <f t="shared" si="8"/>
        <v>1355087.0166844765</v>
      </c>
      <c r="AD6" s="66">
        <v>211938.76594746654</v>
      </c>
      <c r="AE6" s="64"/>
      <c r="AF6" s="65">
        <f t="shared" si="9"/>
        <v>211938.76594746654</v>
      </c>
      <c r="AG6" s="66">
        <v>26275.931068407965</v>
      </c>
      <c r="AH6" s="64"/>
      <c r="AI6" s="65">
        <f t="shared" si="10"/>
        <v>26275.931068407965</v>
      </c>
      <c r="AJ6" s="63">
        <f t="shared" ref="AJ6:AL16" si="11">AG6+AD6+AA6+X6+U6+R6+O6+L6+I6+F6+C6</f>
        <v>4333413.8475362277</v>
      </c>
      <c r="AK6" s="63">
        <f t="shared" si="11"/>
        <v>7498</v>
      </c>
      <c r="AL6" s="63">
        <f t="shared" si="11"/>
        <v>4340911.8475362277</v>
      </c>
    </row>
    <row r="7" spans="1:38" x14ac:dyDescent="0.25">
      <c r="A7" s="7" t="s">
        <v>5</v>
      </c>
      <c r="B7" s="8" t="s">
        <v>3</v>
      </c>
      <c r="C7" s="63">
        <v>73695.006399994294</v>
      </c>
      <c r="D7" s="64"/>
      <c r="E7" s="65">
        <f t="shared" si="0"/>
        <v>73695.006399994294</v>
      </c>
      <c r="F7" s="63">
        <v>510136.86921590898</v>
      </c>
      <c r="G7" s="64"/>
      <c r="H7" s="65">
        <f t="shared" si="1"/>
        <v>510136.86921590898</v>
      </c>
      <c r="I7" s="63">
        <v>55363.639615554603</v>
      </c>
      <c r="J7" s="167"/>
      <c r="K7" s="168">
        <f t="shared" si="2"/>
        <v>55363.639615554603</v>
      </c>
      <c r="L7" s="63">
        <v>220126.580639956</v>
      </c>
      <c r="M7" s="64"/>
      <c r="N7" s="65">
        <f t="shared" si="3"/>
        <v>220126.580639956</v>
      </c>
      <c r="O7" s="63">
        <v>138575.575204411</v>
      </c>
      <c r="P7" s="64"/>
      <c r="Q7" s="258">
        <f t="shared" si="4"/>
        <v>138575.575204411</v>
      </c>
      <c r="R7" s="287">
        <v>54489.175969545999</v>
      </c>
      <c r="S7" s="288"/>
      <c r="T7" s="289">
        <f t="shared" si="5"/>
        <v>54489.175969545999</v>
      </c>
      <c r="U7" s="383">
        <v>517429.37407767901</v>
      </c>
      <c r="V7" s="384"/>
      <c r="W7" s="385">
        <f t="shared" si="6"/>
        <v>517429.37407767901</v>
      </c>
      <c r="X7" s="63">
        <v>78751.957895819898</v>
      </c>
      <c r="Y7" s="64"/>
      <c r="Z7" s="65">
        <f t="shared" si="7"/>
        <v>78751.957895819898</v>
      </c>
      <c r="AA7" s="63">
        <v>617132.01548479497</v>
      </c>
      <c r="AB7" s="64"/>
      <c r="AC7" s="65">
        <f t="shared" si="8"/>
        <v>617132.01548479497</v>
      </c>
      <c r="AD7" s="63">
        <v>275735.23192711099</v>
      </c>
      <c r="AE7" s="64"/>
      <c r="AF7" s="65">
        <f t="shared" si="9"/>
        <v>275735.23192711099</v>
      </c>
      <c r="AG7" s="63">
        <v>34179.582377998398</v>
      </c>
      <c r="AH7" s="64"/>
      <c r="AI7" s="65">
        <f t="shared" si="10"/>
        <v>34179.582377998398</v>
      </c>
      <c r="AJ7" s="63">
        <f t="shared" si="11"/>
        <v>2575615.0088087744</v>
      </c>
      <c r="AK7" s="63">
        <f t="shared" si="11"/>
        <v>0</v>
      </c>
      <c r="AL7" s="63">
        <f t="shared" si="11"/>
        <v>2575615.0088087744</v>
      </c>
    </row>
    <row r="8" spans="1:38" x14ac:dyDescent="0.25">
      <c r="A8" s="7" t="s">
        <v>6</v>
      </c>
      <c r="B8" s="8" t="s">
        <v>3</v>
      </c>
      <c r="C8" s="63">
        <v>149382.22292281</v>
      </c>
      <c r="D8" s="64"/>
      <c r="E8" s="65">
        <f t="shared" si="0"/>
        <v>149382.22292281</v>
      </c>
      <c r="F8" s="63">
        <v>1330886.08200743</v>
      </c>
      <c r="G8" s="64"/>
      <c r="H8" s="65">
        <f t="shared" si="1"/>
        <v>1330886.08200743</v>
      </c>
      <c r="I8" s="63">
        <v>108496.032316714</v>
      </c>
      <c r="J8" s="167">
        <v>1119</v>
      </c>
      <c r="K8" s="168">
        <f t="shared" si="2"/>
        <v>109615.032316714</v>
      </c>
      <c r="L8" s="63">
        <v>347400.48199587601</v>
      </c>
      <c r="M8" s="64"/>
      <c r="N8" s="65">
        <f t="shared" si="3"/>
        <v>347400.48199587601</v>
      </c>
      <c r="O8" s="63">
        <v>273503.15338766098</v>
      </c>
      <c r="P8" s="64"/>
      <c r="Q8" s="258">
        <f t="shared" si="4"/>
        <v>273503.15338766098</v>
      </c>
      <c r="R8" s="287">
        <v>89591.318480613802</v>
      </c>
      <c r="S8" s="288"/>
      <c r="T8" s="289">
        <f t="shared" si="5"/>
        <v>89591.318480613802</v>
      </c>
      <c r="U8" s="383">
        <v>1105156.61175858</v>
      </c>
      <c r="V8" s="384"/>
      <c r="W8" s="385">
        <f t="shared" si="6"/>
        <v>1105156.61175858</v>
      </c>
      <c r="X8" s="63">
        <v>160667.57873584999</v>
      </c>
      <c r="Y8" s="64"/>
      <c r="Z8" s="65">
        <f t="shared" si="7"/>
        <v>160667.57873584999</v>
      </c>
      <c r="AA8" s="63">
        <v>1427929.14665075</v>
      </c>
      <c r="AB8" s="64"/>
      <c r="AC8" s="65">
        <f t="shared" si="8"/>
        <v>1427929.14665075</v>
      </c>
      <c r="AD8" s="63">
        <v>462054.36074935802</v>
      </c>
      <c r="AE8" s="64"/>
      <c r="AF8" s="65">
        <f t="shared" si="9"/>
        <v>462054.36074935802</v>
      </c>
      <c r="AG8" s="63">
        <v>66821.999468838199</v>
      </c>
      <c r="AH8" s="64">
        <v>0</v>
      </c>
      <c r="AI8" s="65">
        <f t="shared" si="10"/>
        <v>66821.999468838199</v>
      </c>
      <c r="AJ8" s="63">
        <f t="shared" si="11"/>
        <v>5521888.9884744817</v>
      </c>
      <c r="AK8" s="63">
        <f t="shared" si="11"/>
        <v>1119</v>
      </c>
      <c r="AL8" s="63">
        <f t="shared" si="11"/>
        <v>5523007.9884744817</v>
      </c>
    </row>
    <row r="9" spans="1:38" ht="18.75" x14ac:dyDescent="0.25">
      <c r="A9" s="9" t="s">
        <v>7</v>
      </c>
      <c r="B9" s="8" t="s">
        <v>3</v>
      </c>
      <c r="C9" s="63"/>
      <c r="D9" s="64"/>
      <c r="E9" s="65">
        <f t="shared" si="0"/>
        <v>0</v>
      </c>
      <c r="F9" s="449">
        <v>147379.71</v>
      </c>
      <c r="G9" s="64"/>
      <c r="H9" s="65">
        <f t="shared" si="1"/>
        <v>147379.71</v>
      </c>
      <c r="I9" s="63"/>
      <c r="J9" s="167"/>
      <c r="K9" s="168">
        <f t="shared" si="2"/>
        <v>0</v>
      </c>
      <c r="L9" s="63"/>
      <c r="M9" s="64"/>
      <c r="N9" s="65">
        <f t="shared" si="3"/>
        <v>0</v>
      </c>
      <c r="O9" s="63"/>
      <c r="P9" s="64"/>
      <c r="Q9" s="258">
        <f t="shared" si="4"/>
        <v>0</v>
      </c>
      <c r="R9" s="287"/>
      <c r="S9" s="288"/>
      <c r="T9" s="289">
        <f t="shared" si="5"/>
        <v>0</v>
      </c>
      <c r="U9" s="383">
        <v>0</v>
      </c>
      <c r="V9" s="384"/>
      <c r="W9" s="385">
        <f t="shared" si="6"/>
        <v>0</v>
      </c>
      <c r="X9" s="63"/>
      <c r="Y9" s="64"/>
      <c r="Z9" s="65">
        <f t="shared" si="7"/>
        <v>0</v>
      </c>
      <c r="AA9" s="63">
        <v>134211.61666666699</v>
      </c>
      <c r="AB9" s="64"/>
      <c r="AC9" s="65">
        <f t="shared" si="8"/>
        <v>134211.61666666699</v>
      </c>
      <c r="AD9" s="63"/>
      <c r="AE9" s="64"/>
      <c r="AF9" s="65">
        <f t="shared" si="9"/>
        <v>0</v>
      </c>
      <c r="AG9" s="63"/>
      <c r="AH9" s="64"/>
      <c r="AI9" s="65">
        <f t="shared" si="10"/>
        <v>0</v>
      </c>
      <c r="AJ9" s="63">
        <f t="shared" si="11"/>
        <v>281591.32666666701</v>
      </c>
      <c r="AK9" s="63">
        <f t="shared" si="11"/>
        <v>0</v>
      </c>
      <c r="AL9" s="63">
        <f t="shared" si="11"/>
        <v>281591.32666666701</v>
      </c>
    </row>
    <row r="10" spans="1:38" x14ac:dyDescent="0.25">
      <c r="A10" s="10" t="s">
        <v>8</v>
      </c>
      <c r="B10" s="8" t="s">
        <v>3</v>
      </c>
      <c r="C10" s="63">
        <v>37434.838228740002</v>
      </c>
      <c r="D10" s="64"/>
      <c r="E10" s="65">
        <f t="shared" si="0"/>
        <v>37434.838228740002</v>
      </c>
      <c r="F10" s="63">
        <v>204607.78506359999</v>
      </c>
      <c r="G10" s="64"/>
      <c r="H10" s="65">
        <f t="shared" si="1"/>
        <v>204607.78506359999</v>
      </c>
      <c r="I10" s="63">
        <v>23768.69433762</v>
      </c>
      <c r="J10" s="167"/>
      <c r="K10" s="168">
        <f t="shared" si="2"/>
        <v>23768.69433762</v>
      </c>
      <c r="L10" s="63">
        <v>76526.827282979997</v>
      </c>
      <c r="M10" s="64"/>
      <c r="N10" s="65">
        <f t="shared" si="3"/>
        <v>76526.827282979997</v>
      </c>
      <c r="O10" s="63">
        <v>67304.642675459996</v>
      </c>
      <c r="P10" s="64"/>
      <c r="Q10" s="258">
        <f t="shared" si="4"/>
        <v>67304.642675459996</v>
      </c>
      <c r="R10" s="287">
        <v>21663.158996670001</v>
      </c>
      <c r="S10" s="288"/>
      <c r="T10" s="289">
        <f t="shared" si="5"/>
        <v>21663.158996670001</v>
      </c>
      <c r="U10" s="383">
        <v>235263.83081457001</v>
      </c>
      <c r="V10" s="384"/>
      <c r="W10" s="387">
        <f t="shared" si="6"/>
        <v>235263.83081457001</v>
      </c>
      <c r="X10" s="63">
        <v>35559.13119249</v>
      </c>
      <c r="Y10" s="64"/>
      <c r="Z10" s="65">
        <f t="shared" si="7"/>
        <v>35559.13119249</v>
      </c>
      <c r="AA10" s="63">
        <v>208721.34448209</v>
      </c>
      <c r="AB10" s="64"/>
      <c r="AC10" s="65">
        <f t="shared" si="8"/>
        <v>208721.34448209</v>
      </c>
      <c r="AD10" s="63">
        <v>102252.1735125</v>
      </c>
      <c r="AE10" s="64"/>
      <c r="AF10" s="65">
        <f t="shared" si="9"/>
        <v>102252.1735125</v>
      </c>
      <c r="AG10" s="63">
        <v>17728.422932879999</v>
      </c>
      <c r="AH10" s="64"/>
      <c r="AI10" s="65">
        <f t="shared" si="10"/>
        <v>17728.422932879999</v>
      </c>
      <c r="AJ10" s="63">
        <f t="shared" si="11"/>
        <v>1030830.8495196002</v>
      </c>
      <c r="AK10" s="63">
        <f t="shared" si="11"/>
        <v>0</v>
      </c>
      <c r="AL10" s="63">
        <f t="shared" si="11"/>
        <v>1030830.8495196002</v>
      </c>
    </row>
    <row r="11" spans="1:38" x14ac:dyDescent="0.25">
      <c r="A11" s="7" t="s">
        <v>9</v>
      </c>
      <c r="B11" s="11" t="s">
        <v>10</v>
      </c>
      <c r="C11" s="67">
        <v>1</v>
      </c>
      <c r="D11" s="67">
        <v>1</v>
      </c>
      <c r="E11" s="68"/>
      <c r="F11" s="67">
        <v>1</v>
      </c>
      <c r="G11" s="67">
        <v>1</v>
      </c>
      <c r="H11" s="68"/>
      <c r="I11" s="67">
        <v>1</v>
      </c>
      <c r="J11" s="67">
        <v>1</v>
      </c>
      <c r="K11" s="68"/>
      <c r="L11" s="67">
        <v>1</v>
      </c>
      <c r="M11" s="67">
        <v>1</v>
      </c>
      <c r="N11" s="68"/>
      <c r="O11" s="67">
        <v>1</v>
      </c>
      <c r="P11" s="67">
        <v>1</v>
      </c>
      <c r="Q11" s="259"/>
      <c r="R11" s="291">
        <v>1</v>
      </c>
      <c r="S11" s="291">
        <v>1</v>
      </c>
      <c r="T11" s="68"/>
      <c r="U11" s="388">
        <v>1</v>
      </c>
      <c r="V11" s="388">
        <v>1</v>
      </c>
      <c r="W11" s="389"/>
      <c r="X11" s="67">
        <v>1</v>
      </c>
      <c r="Y11" s="67">
        <v>1</v>
      </c>
      <c r="Z11" s="68"/>
      <c r="AA11" s="67">
        <v>1</v>
      </c>
      <c r="AB11" s="67">
        <v>1</v>
      </c>
      <c r="AC11" s="68"/>
      <c r="AD11" s="67">
        <v>1</v>
      </c>
      <c r="AE11" s="67">
        <v>1</v>
      </c>
      <c r="AF11" s="68"/>
      <c r="AG11" s="67">
        <v>1</v>
      </c>
      <c r="AH11" s="67">
        <v>1</v>
      </c>
      <c r="AI11" s="68"/>
      <c r="AJ11" s="67"/>
      <c r="AK11" s="67"/>
      <c r="AL11" s="68"/>
    </row>
    <row r="12" spans="1:38" x14ac:dyDescent="0.25">
      <c r="A12" s="7" t="s">
        <v>11</v>
      </c>
      <c r="B12" s="8" t="s">
        <v>10</v>
      </c>
      <c r="C12" s="64">
        <f>C10*C11</f>
        <v>37434.838228740002</v>
      </c>
      <c r="D12" s="64">
        <f>D10*D11</f>
        <v>0</v>
      </c>
      <c r="E12" s="65">
        <f>C12+D12</f>
        <v>37434.838228740002</v>
      </c>
      <c r="F12" s="151">
        <f>F10*F11</f>
        <v>204607.78506359999</v>
      </c>
      <c r="G12" s="64">
        <f>G10*G11</f>
        <v>0</v>
      </c>
      <c r="H12" s="65">
        <f>F12+G12</f>
        <v>204607.78506359999</v>
      </c>
      <c r="I12" s="170">
        <f>I10*I11</f>
        <v>23768.69433762</v>
      </c>
      <c r="J12" s="167">
        <f>J10*J11</f>
        <v>0</v>
      </c>
      <c r="K12" s="168">
        <f>I12+J12</f>
        <v>23768.69433762</v>
      </c>
      <c r="L12" s="151">
        <f>L10*L11</f>
        <v>76526.827282979997</v>
      </c>
      <c r="M12" s="64">
        <f>M10*M11</f>
        <v>0</v>
      </c>
      <c r="N12" s="65">
        <f>L12+M12</f>
        <v>76526.827282979997</v>
      </c>
      <c r="O12" s="151">
        <f>O10*O11</f>
        <v>67304.642675459996</v>
      </c>
      <c r="P12" s="64">
        <f>P10*P11</f>
        <v>0</v>
      </c>
      <c r="Q12" s="258">
        <f>O12+P12</f>
        <v>67304.642675459996</v>
      </c>
      <c r="R12" s="292">
        <f>R10*R11</f>
        <v>21663.158996670001</v>
      </c>
      <c r="S12" s="288">
        <f>S10*S11</f>
        <v>0</v>
      </c>
      <c r="T12" s="289">
        <f>R12+S12</f>
        <v>21663.158996670001</v>
      </c>
      <c r="U12" s="390">
        <f>U10*U11</f>
        <v>235263.83081457001</v>
      </c>
      <c r="V12" s="384">
        <f>V10*V11</f>
        <v>0</v>
      </c>
      <c r="W12" s="385">
        <f>U12+V12</f>
        <v>235263.83081457001</v>
      </c>
      <c r="X12" s="64">
        <f>X10*X11</f>
        <v>35559.13119249</v>
      </c>
      <c r="Y12" s="64">
        <f>Y10*Y11</f>
        <v>0</v>
      </c>
      <c r="Z12" s="65">
        <f>X12+Y12</f>
        <v>35559.13119249</v>
      </c>
      <c r="AA12" s="151">
        <f>AA10*AA11</f>
        <v>208721.34448209</v>
      </c>
      <c r="AB12" s="64">
        <f>AB10*AB11</f>
        <v>0</v>
      </c>
      <c r="AC12" s="65">
        <f>AA12+AB12</f>
        <v>208721.34448209</v>
      </c>
      <c r="AD12" s="151">
        <f>AD10*AD11</f>
        <v>102252.1735125</v>
      </c>
      <c r="AE12" s="64">
        <f>AE10*AE11</f>
        <v>0</v>
      </c>
      <c r="AF12" s="65">
        <f>AD12+AE12</f>
        <v>102252.1735125</v>
      </c>
      <c r="AG12" s="151">
        <f>AG10*AG11</f>
        <v>17728.422932879999</v>
      </c>
      <c r="AH12" s="64">
        <f>AH10*AH11</f>
        <v>0</v>
      </c>
      <c r="AI12" s="65">
        <f>AG12+AH12</f>
        <v>17728.422932879999</v>
      </c>
      <c r="AJ12" s="63">
        <f t="shared" si="11"/>
        <v>1030830.8495196002</v>
      </c>
      <c r="AK12" s="63">
        <f t="shared" ref="AK12:AK13" si="12">AH12+AE12+AB12+Y12+V12+S12+P12+M12+J12+G12+D12</f>
        <v>0</v>
      </c>
      <c r="AL12" s="63">
        <f t="shared" ref="AL12:AL13" si="13">AI12+AF12+AC12+Z12+W12+T12+Q12+N12+K12+H12+E12</f>
        <v>1030830.8495196002</v>
      </c>
    </row>
    <row r="13" spans="1:38" ht="18.75" x14ac:dyDescent="0.25">
      <c r="A13" s="7" t="s">
        <v>12</v>
      </c>
      <c r="B13" s="8" t="s">
        <v>3</v>
      </c>
      <c r="C13" s="151">
        <v>940.20589231947599</v>
      </c>
      <c r="D13" s="64"/>
      <c r="E13" s="65">
        <f>C13+D13</f>
        <v>940.20589231947599</v>
      </c>
      <c r="F13" s="151">
        <v>12030.046448548601</v>
      </c>
      <c r="G13" s="64"/>
      <c r="H13" s="65">
        <f>F13+G13</f>
        <v>12030.046448548601</v>
      </c>
      <c r="I13" s="170">
        <v>777.99102781032695</v>
      </c>
      <c r="J13" s="167"/>
      <c r="K13" s="168">
        <f>I13+J13</f>
        <v>777.99102781032695</v>
      </c>
      <c r="L13" s="151">
        <v>2563.9553419949402</v>
      </c>
      <c r="M13" s="64"/>
      <c r="N13" s="65">
        <f>L13+M13</f>
        <v>2563.9553419949402</v>
      </c>
      <c r="O13" s="151">
        <v>1586.39734271612</v>
      </c>
      <c r="P13" s="64"/>
      <c r="Q13" s="258">
        <f>O13+P13</f>
        <v>1586.39734271612</v>
      </c>
      <c r="R13" s="292">
        <v>771.58780947443904</v>
      </c>
      <c r="S13" s="288"/>
      <c r="T13" s="289">
        <f>R13+S13</f>
        <v>771.58780947443904</v>
      </c>
      <c r="U13" s="390">
        <v>6886.6613202469698</v>
      </c>
      <c r="V13" s="384"/>
      <c r="W13" s="387">
        <f>U13+V13</f>
        <v>6886.6613202469698</v>
      </c>
      <c r="X13" s="64">
        <v>1112.0255843324601</v>
      </c>
      <c r="Y13" s="64"/>
      <c r="Z13" s="65">
        <f>X13+Y13</f>
        <v>1112.0255843324601</v>
      </c>
      <c r="AA13" s="151">
        <v>14449.929377986</v>
      </c>
      <c r="AB13" s="64"/>
      <c r="AC13" s="65">
        <f>AA13+AB13</f>
        <v>14449.929377986</v>
      </c>
      <c r="AD13" s="151">
        <v>3058.6039584422401</v>
      </c>
      <c r="AE13" s="64"/>
      <c r="AF13" s="65">
        <f>AD13+AE13</f>
        <v>3058.6039584422401</v>
      </c>
      <c r="AG13" s="151">
        <v>544.807160078425</v>
      </c>
      <c r="AH13" s="64"/>
      <c r="AI13" s="65">
        <f>AG13+AH13</f>
        <v>544.807160078425</v>
      </c>
      <c r="AJ13" s="63">
        <f t="shared" si="11"/>
        <v>44722.211263950005</v>
      </c>
      <c r="AK13" s="63">
        <f t="shared" si="12"/>
        <v>0</v>
      </c>
      <c r="AL13" s="63">
        <f t="shared" si="13"/>
        <v>44722.211263950005</v>
      </c>
    </row>
    <row r="14" spans="1:38" x14ac:dyDescent="0.25">
      <c r="A14" s="7" t="s">
        <v>13</v>
      </c>
      <c r="B14" s="11" t="s">
        <v>10</v>
      </c>
      <c r="C14" s="67">
        <v>1</v>
      </c>
      <c r="D14" s="67">
        <v>1</v>
      </c>
      <c r="E14" s="68"/>
      <c r="F14" s="67">
        <v>1</v>
      </c>
      <c r="G14" s="67">
        <v>1</v>
      </c>
      <c r="H14" s="68"/>
      <c r="I14" s="67">
        <v>1</v>
      </c>
      <c r="J14" s="67">
        <v>1</v>
      </c>
      <c r="K14" s="68"/>
      <c r="L14" s="67">
        <v>1</v>
      </c>
      <c r="M14" s="67"/>
      <c r="N14" s="68"/>
      <c r="O14" s="67">
        <v>1</v>
      </c>
      <c r="P14" s="67">
        <v>1</v>
      </c>
      <c r="Q14" s="259"/>
      <c r="R14" s="291">
        <v>1</v>
      </c>
      <c r="S14" s="291"/>
      <c r="T14" s="68"/>
      <c r="U14" s="388">
        <v>1</v>
      </c>
      <c r="V14" s="388">
        <v>1</v>
      </c>
      <c r="W14" s="389"/>
      <c r="X14" s="67">
        <v>1</v>
      </c>
      <c r="Y14" s="67">
        <v>1</v>
      </c>
      <c r="Z14" s="68"/>
      <c r="AA14" s="67">
        <v>1</v>
      </c>
      <c r="AB14" s="67">
        <v>1</v>
      </c>
      <c r="AC14" s="68"/>
      <c r="AD14" s="67">
        <v>1</v>
      </c>
      <c r="AE14" s="67">
        <v>1</v>
      </c>
      <c r="AF14" s="68"/>
      <c r="AG14" s="67">
        <v>1</v>
      </c>
      <c r="AH14" s="67">
        <v>1</v>
      </c>
      <c r="AI14" s="68"/>
      <c r="AJ14" s="67"/>
      <c r="AK14" s="67"/>
      <c r="AL14" s="68"/>
    </row>
    <row r="15" spans="1:38" ht="18.75" x14ac:dyDescent="0.25">
      <c r="A15" s="7" t="s">
        <v>14</v>
      </c>
      <c r="B15" s="8" t="s">
        <v>10</v>
      </c>
      <c r="C15" s="64">
        <f>C13*C14</f>
        <v>940.20589231947599</v>
      </c>
      <c r="D15" s="64">
        <f>D13*D14</f>
        <v>0</v>
      </c>
      <c r="E15" s="65">
        <f>C15+D15</f>
        <v>940.20589231947599</v>
      </c>
      <c r="F15" s="151">
        <f>F13*F14</f>
        <v>12030.046448548601</v>
      </c>
      <c r="G15" s="64">
        <f>G13*G14</f>
        <v>0</v>
      </c>
      <c r="H15" s="65">
        <f>F15+G15</f>
        <v>12030.046448548601</v>
      </c>
      <c r="I15" s="170">
        <f>I13*I14</f>
        <v>777.99102781032695</v>
      </c>
      <c r="J15" s="167">
        <f>J13*J14</f>
        <v>0</v>
      </c>
      <c r="K15" s="168">
        <f>I15+J15</f>
        <v>777.99102781032695</v>
      </c>
      <c r="L15" s="151">
        <f>L13*L14</f>
        <v>2563.9553419949402</v>
      </c>
      <c r="M15" s="64">
        <f>M13*M14</f>
        <v>0</v>
      </c>
      <c r="N15" s="65">
        <f>L15+M15</f>
        <v>2563.9553419949402</v>
      </c>
      <c r="O15" s="151">
        <f>O13*O14</f>
        <v>1586.39734271612</v>
      </c>
      <c r="P15" s="64">
        <f>P13*P14</f>
        <v>0</v>
      </c>
      <c r="Q15" s="258">
        <f>O15+P15</f>
        <v>1586.39734271612</v>
      </c>
      <c r="R15" s="292">
        <f>R13*R14</f>
        <v>771.58780947443904</v>
      </c>
      <c r="S15" s="288">
        <f>S13*S14</f>
        <v>0</v>
      </c>
      <c r="T15" s="289">
        <f>R15+S15</f>
        <v>771.58780947443904</v>
      </c>
      <c r="U15" s="390">
        <f>U13*U14</f>
        <v>6886.6613202469698</v>
      </c>
      <c r="V15" s="384">
        <f>V13*V14</f>
        <v>0</v>
      </c>
      <c r="W15" s="385">
        <f>U15+V15</f>
        <v>6886.6613202469698</v>
      </c>
      <c r="X15" s="64">
        <f>X13*X14</f>
        <v>1112.0255843324601</v>
      </c>
      <c r="Y15" s="64">
        <f>Y13*Y14</f>
        <v>0</v>
      </c>
      <c r="Z15" s="65">
        <f>X15+Y15</f>
        <v>1112.0255843324601</v>
      </c>
      <c r="AA15" s="151">
        <f>AA13*AA14</f>
        <v>14449.929377986</v>
      </c>
      <c r="AB15" s="64">
        <f>AB13*AB14</f>
        <v>0</v>
      </c>
      <c r="AC15" s="65">
        <f>AA15+AB15</f>
        <v>14449.929377986</v>
      </c>
      <c r="AD15" s="151">
        <f>AD13*AD14</f>
        <v>3058.6039584422401</v>
      </c>
      <c r="AE15" s="64">
        <f>AE13*AE14</f>
        <v>0</v>
      </c>
      <c r="AF15" s="65">
        <f>AD15+AE15</f>
        <v>3058.6039584422401</v>
      </c>
      <c r="AG15" s="151">
        <f>AG13*AG14</f>
        <v>544.807160078425</v>
      </c>
      <c r="AH15" s="64">
        <f>AH13*AH14</f>
        <v>0</v>
      </c>
      <c r="AI15" s="65">
        <f>AG15+AH15</f>
        <v>544.807160078425</v>
      </c>
      <c r="AJ15" s="63">
        <f t="shared" si="11"/>
        <v>44722.211263950005</v>
      </c>
      <c r="AK15" s="63">
        <f t="shared" ref="AK15:AK16" si="14">AH15+AE15+AB15+Y15+V15+S15+P15+M15+J15+G15+D15</f>
        <v>0</v>
      </c>
      <c r="AL15" s="63">
        <f t="shared" ref="AL15:AL16" si="15">AI15+AF15+AC15+Z15+W15+T15+Q15+N15+K15+H15+E15</f>
        <v>44722.211263950005</v>
      </c>
    </row>
    <row r="16" spans="1:38" ht="18.75" x14ac:dyDescent="0.25">
      <c r="A16" s="7" t="s">
        <v>15</v>
      </c>
      <c r="B16" s="8" t="s">
        <v>3</v>
      </c>
      <c r="C16" s="151">
        <v>-36102.267001280561</v>
      </c>
      <c r="D16" s="64"/>
      <c r="E16" s="65">
        <f>C16+D16</f>
        <v>-36102.267001280561</v>
      </c>
      <c r="F16" s="151">
        <v>-266034.40135963634</v>
      </c>
      <c r="G16" s="64"/>
      <c r="H16" s="65">
        <f>F16+G16</f>
        <v>-266034.40135963634</v>
      </c>
      <c r="I16" s="170">
        <v>-14525.177232014301</v>
      </c>
      <c r="J16" s="167"/>
      <c r="K16" s="168">
        <f>I16+J16</f>
        <v>-14525.177232014301</v>
      </c>
      <c r="L16" s="151">
        <v>-92463.490803028777</v>
      </c>
      <c r="M16" s="64"/>
      <c r="N16" s="65">
        <f>L16+M16</f>
        <v>-92463.490803028777</v>
      </c>
      <c r="O16" s="151">
        <v>-1691.3086651117658</v>
      </c>
      <c r="P16" s="64"/>
      <c r="Q16" s="258">
        <f>O16+P16</f>
        <v>-1691.3086651117658</v>
      </c>
      <c r="R16" s="292">
        <v>-18784.831611767557</v>
      </c>
      <c r="S16" s="288"/>
      <c r="T16" s="289">
        <f>R16+S16</f>
        <v>-18784.831611767557</v>
      </c>
      <c r="U16" s="390">
        <v>-122505.96857095401</v>
      </c>
      <c r="V16" s="384"/>
      <c r="W16" s="387">
        <f>U16+V16</f>
        <v>-122505.96857095401</v>
      </c>
      <c r="X16" s="64">
        <v>-24786.140121349777</v>
      </c>
      <c r="Y16" s="64"/>
      <c r="Z16" s="65">
        <f>X16+Y16</f>
        <v>-24786.140121349777</v>
      </c>
      <c r="AA16" s="151">
        <v>-201113.78326070061</v>
      </c>
      <c r="AB16" s="64"/>
      <c r="AC16" s="65">
        <f>AA16+AB16</f>
        <v>-201113.78326070061</v>
      </c>
      <c r="AD16" s="151">
        <v>-98983.103558987612</v>
      </c>
      <c r="AE16" s="64"/>
      <c r="AF16" s="65">
        <f>AD16+AE16</f>
        <v>-98983.103558987612</v>
      </c>
      <c r="AG16" s="151">
        <v>-4067.1458534907911</v>
      </c>
      <c r="AH16" s="64"/>
      <c r="AI16" s="65">
        <f>AG16+AH16</f>
        <v>-4067.1458534907911</v>
      </c>
      <c r="AJ16" s="63">
        <f t="shared" si="11"/>
        <v>-881057.61803832208</v>
      </c>
      <c r="AK16" s="63">
        <f t="shared" si="14"/>
        <v>0</v>
      </c>
      <c r="AL16" s="63">
        <f t="shared" si="15"/>
        <v>-881057.61803832208</v>
      </c>
    </row>
    <row r="17" spans="1:38" x14ac:dyDescent="0.25">
      <c r="A17" s="7" t="s">
        <v>16</v>
      </c>
      <c r="B17" s="11" t="s">
        <v>10</v>
      </c>
      <c r="C17" s="67">
        <v>0.85799999999999998</v>
      </c>
      <c r="D17" s="67"/>
      <c r="E17" s="68"/>
      <c r="F17" s="67">
        <v>0.3</v>
      </c>
      <c r="G17" s="67"/>
      <c r="H17" s="68"/>
      <c r="I17" s="67">
        <v>0.85799999999999998</v>
      </c>
      <c r="J17" s="67"/>
      <c r="K17" s="68"/>
      <c r="L17" s="67">
        <v>0.85799999999999998</v>
      </c>
      <c r="M17" s="67"/>
      <c r="N17" s="68"/>
      <c r="O17" s="67">
        <v>0.85799999999999998</v>
      </c>
      <c r="P17" s="67"/>
      <c r="Q17" s="259"/>
      <c r="R17" s="291">
        <v>0.85799999999999998</v>
      </c>
      <c r="S17" s="291"/>
      <c r="T17" s="68"/>
      <c r="U17" s="388">
        <v>0.85799999999999998</v>
      </c>
      <c r="V17" s="388"/>
      <c r="W17" s="391"/>
      <c r="X17" s="67">
        <v>0.85799999999999998</v>
      </c>
      <c r="Y17" s="67"/>
      <c r="Z17" s="68"/>
      <c r="AA17" s="67">
        <v>0.66800000000000004</v>
      </c>
      <c r="AB17" s="67"/>
      <c r="AC17" s="68"/>
      <c r="AD17" s="67">
        <v>0.85799999999999998</v>
      </c>
      <c r="AE17" s="67"/>
      <c r="AF17" s="68"/>
      <c r="AG17" s="67">
        <v>0.85799999999999998</v>
      </c>
      <c r="AH17" s="67"/>
      <c r="AI17" s="68"/>
      <c r="AJ17" s="67"/>
      <c r="AK17" s="67"/>
      <c r="AL17" s="68"/>
    </row>
    <row r="18" spans="1:38" x14ac:dyDescent="0.25">
      <c r="A18" s="7" t="s">
        <v>17</v>
      </c>
      <c r="B18" s="11" t="s">
        <v>10</v>
      </c>
      <c r="C18" s="67">
        <v>4</v>
      </c>
      <c r="D18" s="67"/>
      <c r="E18" s="68"/>
      <c r="F18" s="67">
        <v>4</v>
      </c>
      <c r="G18" s="67"/>
      <c r="H18" s="68"/>
      <c r="I18" s="67">
        <v>4</v>
      </c>
      <c r="J18" s="67"/>
      <c r="K18" s="68"/>
      <c r="L18" s="67">
        <v>4</v>
      </c>
      <c r="M18" s="67"/>
      <c r="N18" s="68"/>
      <c r="O18" s="67">
        <v>4</v>
      </c>
      <c r="P18" s="67"/>
      <c r="Q18" s="259"/>
      <c r="R18" s="291">
        <v>4</v>
      </c>
      <c r="S18" s="291"/>
      <c r="T18" s="68"/>
      <c r="U18" s="388">
        <v>4</v>
      </c>
      <c r="V18" s="388"/>
      <c r="W18" s="389"/>
      <c r="X18" s="67">
        <v>4</v>
      </c>
      <c r="Y18" s="67"/>
      <c r="Z18" s="68"/>
      <c r="AA18" s="67">
        <v>4</v>
      </c>
      <c r="AB18" s="67"/>
      <c r="AC18" s="68"/>
      <c r="AD18" s="67">
        <v>4</v>
      </c>
      <c r="AE18" s="67"/>
      <c r="AF18" s="68"/>
      <c r="AG18" s="67">
        <v>4</v>
      </c>
      <c r="AH18" s="67"/>
      <c r="AI18" s="68"/>
      <c r="AJ18" s="67"/>
      <c r="AK18" s="67"/>
      <c r="AL18" s="68"/>
    </row>
    <row r="19" spans="1:38" ht="18.75" x14ac:dyDescent="0.25">
      <c r="A19" s="7" t="s">
        <v>18</v>
      </c>
      <c r="B19" s="8" t="s">
        <v>19</v>
      </c>
      <c r="C19" s="151">
        <f>(C17*C16)/C18</f>
        <v>-7743.9362717746799</v>
      </c>
      <c r="D19" s="64"/>
      <c r="E19" s="65">
        <f>C19+D19</f>
        <v>-7743.9362717746799</v>
      </c>
      <c r="F19" s="64">
        <f>(F17*F16)/F18</f>
        <v>-19952.580101972726</v>
      </c>
      <c r="G19" s="64"/>
      <c r="H19" s="65">
        <f>F19+G19</f>
        <v>-19952.580101972726</v>
      </c>
      <c r="I19" s="170">
        <f>(I17*I16)/I18</f>
        <v>-3115.6505162670674</v>
      </c>
      <c r="J19" s="167"/>
      <c r="K19" s="168">
        <f>I19+J19</f>
        <v>-3115.6505162670674</v>
      </c>
      <c r="L19" s="151">
        <f>(L17*L16)/L18</f>
        <v>-19833.418777249673</v>
      </c>
      <c r="M19" s="64"/>
      <c r="N19" s="65">
        <f>L19+M19</f>
        <v>-19833.418777249673</v>
      </c>
      <c r="O19" s="151">
        <f>(O17*O16)/O18</f>
        <v>-362.78570866647374</v>
      </c>
      <c r="P19" s="64"/>
      <c r="Q19" s="258">
        <f>O19+P19</f>
        <v>-362.78570866647374</v>
      </c>
      <c r="R19" s="292">
        <f>(R17*R16)/R18</f>
        <v>-4029.346380724141</v>
      </c>
      <c r="S19" s="288"/>
      <c r="T19" s="289">
        <f>R19+S19</f>
        <v>-4029.346380724141</v>
      </c>
      <c r="U19" s="390">
        <f>(U17*U16)/U18</f>
        <v>-26277.530258469633</v>
      </c>
      <c r="V19" s="384"/>
      <c r="W19" s="385">
        <f>U19+V19</f>
        <v>-26277.530258469633</v>
      </c>
      <c r="X19" s="64">
        <f>(X17*X16)/X18</f>
        <v>-5316.627056029527</v>
      </c>
      <c r="Y19" s="64"/>
      <c r="Z19" s="65">
        <f>X19+Y19</f>
        <v>-5316.627056029527</v>
      </c>
      <c r="AA19" s="151">
        <f>(AA17*AA16)/AA18</f>
        <v>-33586.001804537002</v>
      </c>
      <c r="AB19" s="64"/>
      <c r="AC19" s="65">
        <f>AA19+AB19</f>
        <v>-33586.001804537002</v>
      </c>
      <c r="AD19" s="151">
        <f>(AD17*AD16)/AD18</f>
        <v>-21231.875713402842</v>
      </c>
      <c r="AE19" s="64"/>
      <c r="AF19" s="65">
        <f>AD19+AE19</f>
        <v>-21231.875713402842</v>
      </c>
      <c r="AG19" s="151">
        <f>(AG17*AG16)/AG18</f>
        <v>-872.40278557377462</v>
      </c>
      <c r="AH19" s="64"/>
      <c r="AI19" s="65">
        <f>AG19+AH19</f>
        <v>-872.40278557377462</v>
      </c>
      <c r="AJ19" s="63">
        <f t="shared" ref="AJ19:AL39" si="16">AG19+AD19+AA19+X19+U19+R19+O19+L19+I19+F19+C19</f>
        <v>-142322.15537466752</v>
      </c>
      <c r="AK19" s="64"/>
      <c r="AL19" s="65"/>
    </row>
    <row r="20" spans="1:38" x14ac:dyDescent="0.25">
      <c r="A20" s="7" t="s">
        <v>20</v>
      </c>
      <c r="B20" s="8" t="s">
        <v>3</v>
      </c>
      <c r="C20" s="64"/>
      <c r="D20" s="64"/>
      <c r="E20" s="65">
        <f>C20+D20</f>
        <v>0</v>
      </c>
      <c r="F20" s="64"/>
      <c r="G20" s="64"/>
      <c r="H20" s="65">
        <f>F20+G20</f>
        <v>0</v>
      </c>
      <c r="I20" s="167"/>
      <c r="J20" s="167"/>
      <c r="K20" s="168">
        <f>I20+J20</f>
        <v>0</v>
      </c>
      <c r="L20" s="64"/>
      <c r="M20" s="64"/>
      <c r="N20" s="65">
        <f>L20+M20</f>
        <v>0</v>
      </c>
      <c r="O20" s="64"/>
      <c r="P20" s="64"/>
      <c r="Q20" s="258">
        <f>O20+P20</f>
        <v>0</v>
      </c>
      <c r="R20" s="292"/>
      <c r="S20" s="288"/>
      <c r="T20" s="289">
        <f>R20+S20</f>
        <v>0</v>
      </c>
      <c r="U20" s="384"/>
      <c r="V20" s="384"/>
      <c r="W20" s="387">
        <f>U20+V20</f>
        <v>0</v>
      </c>
      <c r="X20" s="64"/>
      <c r="Y20" s="64"/>
      <c r="Z20" s="65">
        <f>X20+Y20</f>
        <v>0</v>
      </c>
      <c r="AA20" s="64"/>
      <c r="AB20" s="64"/>
      <c r="AC20" s="65">
        <f>AA20+AB20</f>
        <v>0</v>
      </c>
      <c r="AD20" s="151"/>
      <c r="AE20" s="64"/>
      <c r="AF20" s="65">
        <f>AD20+AE20</f>
        <v>0</v>
      </c>
      <c r="AG20" s="151"/>
      <c r="AH20" s="64"/>
      <c r="AI20" s="65">
        <f>AG20+AH20</f>
        <v>0</v>
      </c>
      <c r="AJ20" s="63">
        <f t="shared" si="16"/>
        <v>0</v>
      </c>
      <c r="AK20" s="64"/>
      <c r="AL20" s="65"/>
    </row>
    <row r="21" spans="1:38" ht="19.5" thickBot="1" x14ac:dyDescent="0.3">
      <c r="A21" s="12" t="s">
        <v>21</v>
      </c>
      <c r="B21" s="13" t="s">
        <v>19</v>
      </c>
      <c r="C21" s="69">
        <f>C5+C6+C7+C8+C9-C12-C15+C19+C20</f>
        <v>271398.39768437197</v>
      </c>
      <c r="D21" s="69">
        <f>D5+D6+D7+D8+D9-D12-D15+D19+D20</f>
        <v>0</v>
      </c>
      <c r="E21" s="69">
        <f>C21+D21</f>
        <v>271398.39768437197</v>
      </c>
      <c r="F21" s="69">
        <f>F5+F6+F7+F8+F9-F12-F15+F19+F20</f>
        <v>4334655.7351577114</v>
      </c>
      <c r="G21" s="69">
        <f>G5+G6+G7+G8+G9-G12-G15+G19+G20</f>
        <v>0</v>
      </c>
      <c r="H21" s="69">
        <f>F21+G21</f>
        <v>4334655.7351577114</v>
      </c>
      <c r="I21" s="171">
        <f>I5+I6+I7+I8+I9-I12-I15+I19+I20</f>
        <v>193241.43692510232</v>
      </c>
      <c r="J21" s="171">
        <f>J5+J6+J7+J8+J9-J12-J15+J19+J20</f>
        <v>2469</v>
      </c>
      <c r="K21" s="171">
        <f>I21+J21</f>
        <v>195710.43692510232</v>
      </c>
      <c r="L21" s="69">
        <f>L5+L6+L7+L8+L9-L12-L15+L19+L20</f>
        <v>735706.14672573679</v>
      </c>
      <c r="M21" s="69">
        <f>M5+M6+M7+M8+M9-M12-M15+M19+M20</f>
        <v>0</v>
      </c>
      <c r="N21" s="69">
        <f>L21+M21</f>
        <v>735706.14672573679</v>
      </c>
      <c r="O21" s="260">
        <f>O5+O6+O7+O8+O9-O12-O15+O19+O20</f>
        <v>506252.91105292615</v>
      </c>
      <c r="P21" s="260">
        <f>P5+P6+P7+P8+P9-P12-P15+P19+P20</f>
        <v>0</v>
      </c>
      <c r="Q21" s="260">
        <f>O21+P21</f>
        <v>506252.91105292615</v>
      </c>
      <c r="R21" s="293">
        <f>R5+R6+R7+R8+R9-R12-R15+R19+R20</f>
        <v>205051.60373731854</v>
      </c>
      <c r="S21" s="293">
        <f>S5+S6+S7+S8+S9-S12-S15+S19+S20</f>
        <v>0</v>
      </c>
      <c r="T21" s="293">
        <f>R21+S21</f>
        <v>205051.60373731854</v>
      </c>
      <c r="U21" s="392">
        <f>U5+U6+U7+U8+U9-U12-U15+U19+U20</f>
        <v>2076050.8353653662</v>
      </c>
      <c r="V21" s="392">
        <f>V5+V6+V7+V8+V9-V12-V15+V19+V20</f>
        <v>0</v>
      </c>
      <c r="W21" s="392">
        <f>U21+V21</f>
        <v>2076050.8353653662</v>
      </c>
      <c r="X21" s="69">
        <f>X5+X6+X7+X8+X9-X12-X15+X19+X20</f>
        <v>301464.09276893939</v>
      </c>
      <c r="Y21" s="69">
        <f>Y5+Y6+Y7+Y8+Y9-Y12-Y15+Y19+Y20</f>
        <v>0</v>
      </c>
      <c r="Z21" s="69">
        <f>X21+Y21</f>
        <v>301464.09276893939</v>
      </c>
      <c r="AA21" s="69">
        <f>AA5+AA6+AA7+AA8+AA9-AA12-AA15+AA19+AA20</f>
        <v>4014314.7402075618</v>
      </c>
      <c r="AB21" s="69">
        <f>AB5+AB6+AB7+AB8+AB9-AB12-AB15+AB19+AB20</f>
        <v>74465</v>
      </c>
      <c r="AC21" s="69">
        <f>AA21+AB21</f>
        <v>4088779.7402075618</v>
      </c>
      <c r="AD21" s="69">
        <f>AD5+AD6+AD7+AD8+AD9-AD12-AD15+AD19+AD20</f>
        <v>939720.77608639549</v>
      </c>
      <c r="AE21" s="69">
        <f>AE5+AE6+AE7+AE8+AE9-AE12-AE15+AE19+AE20</f>
        <v>15437</v>
      </c>
      <c r="AF21" s="69">
        <f>AD21+AE21</f>
        <v>955157.77608639549</v>
      </c>
      <c r="AG21" s="69">
        <f>AG5+AG6+AG7+AG8+AG9-AG12-AG15+AG19+AG20</f>
        <v>134049.97616489165</v>
      </c>
      <c r="AH21" s="69">
        <f>AH5+AH6+AH7+AH8+AH9-AH12-AH15+AH19+AH20</f>
        <v>0</v>
      </c>
      <c r="AI21" s="69">
        <f>AG21+AH21</f>
        <v>134049.97616489165</v>
      </c>
      <c r="AJ21" s="69">
        <f t="shared" si="16"/>
        <v>13711906.651876321</v>
      </c>
      <c r="AK21" s="69"/>
      <c r="AL21" s="69"/>
    </row>
    <row r="22" spans="1:38" ht="16.5" thickBot="1" x14ac:dyDescent="0.3">
      <c r="A22" s="14"/>
      <c r="B22" s="15"/>
      <c r="C22" s="70"/>
      <c r="D22" s="70"/>
      <c r="E22" s="71"/>
      <c r="F22" s="70"/>
      <c r="G22" s="70"/>
      <c r="H22" s="71"/>
      <c r="I22" s="172"/>
      <c r="J22" s="172"/>
      <c r="K22" s="173"/>
      <c r="L22" s="70"/>
      <c r="M22" s="70"/>
      <c r="N22" s="71"/>
      <c r="O22" s="70"/>
      <c r="P22" s="70"/>
      <c r="Q22" s="71"/>
      <c r="R22" s="294"/>
      <c r="S22" s="294"/>
      <c r="T22" s="295"/>
      <c r="U22" s="393"/>
      <c r="V22" s="393"/>
      <c r="W22" s="394"/>
      <c r="X22" s="70"/>
      <c r="Y22" s="70"/>
      <c r="Z22" s="71"/>
      <c r="AA22" s="70"/>
      <c r="AB22" s="70"/>
      <c r="AC22" s="71"/>
      <c r="AD22" s="70"/>
      <c r="AE22" s="70"/>
      <c r="AF22" s="71"/>
      <c r="AG22" s="70"/>
      <c r="AH22" s="70"/>
      <c r="AI22" s="71"/>
      <c r="AJ22" s="70"/>
      <c r="AK22" s="70"/>
      <c r="AL22" s="71"/>
    </row>
    <row r="23" spans="1:38" x14ac:dyDescent="0.25">
      <c r="A23" s="16" t="s">
        <v>22</v>
      </c>
      <c r="B23" s="17" t="s">
        <v>3</v>
      </c>
      <c r="C23" s="152">
        <v>8177.75043533197</v>
      </c>
      <c r="D23" s="163">
        <v>5000</v>
      </c>
      <c r="E23" s="73">
        <f t="shared" ref="E23:E39" si="17">C23+D23</f>
        <v>13177.750435331971</v>
      </c>
      <c r="F23" s="152">
        <v>785763.48250047094</v>
      </c>
      <c r="G23" s="72"/>
      <c r="H23" s="73">
        <f t="shared" ref="H23:H39" si="18">F23+G23</f>
        <v>785763.48250047094</v>
      </c>
      <c r="I23" s="174">
        <v>0</v>
      </c>
      <c r="J23" s="174">
        <v>6751</v>
      </c>
      <c r="K23" s="175">
        <f t="shared" ref="K23:K39" si="19">I23+J23</f>
        <v>6751</v>
      </c>
      <c r="L23" s="152">
        <v>159479.75619514799</v>
      </c>
      <c r="M23" s="72"/>
      <c r="N23" s="73">
        <f t="shared" ref="N23:N39" si="20">L23+M23</f>
        <v>159479.75619514799</v>
      </c>
      <c r="O23" s="72">
        <v>0</v>
      </c>
      <c r="P23" s="72"/>
      <c r="Q23" s="73">
        <f t="shared" ref="Q23:Q39" si="21">O23+P23</f>
        <v>0</v>
      </c>
      <c r="R23" s="296">
        <v>0</v>
      </c>
      <c r="S23" s="297">
        <v>17108</v>
      </c>
      <c r="T23" s="298">
        <f t="shared" ref="T23:T39" si="22">R23+S23</f>
        <v>17108</v>
      </c>
      <c r="U23" s="395">
        <v>297465.67208520003</v>
      </c>
      <c r="V23" s="396"/>
      <c r="W23" s="397">
        <f t="shared" ref="W23:W39" si="23">U23+V23</f>
        <v>297465.67208520003</v>
      </c>
      <c r="X23" s="72">
        <v>0</v>
      </c>
      <c r="Y23" s="72">
        <v>2470</v>
      </c>
      <c r="Z23" s="73">
        <f t="shared" ref="Z23:Z39" si="24">X23+Y23</f>
        <v>2470</v>
      </c>
      <c r="AA23" s="152">
        <v>788765.68345412402</v>
      </c>
      <c r="AB23" s="72"/>
      <c r="AC23" s="73">
        <f t="shared" ref="AC23:AC39" si="25">AA23+AB23</f>
        <v>788765.68345412402</v>
      </c>
      <c r="AD23" s="152">
        <v>109927.837582636</v>
      </c>
      <c r="AE23" s="72">
        <v>9523.19</v>
      </c>
      <c r="AF23" s="73">
        <f t="shared" ref="AF23:AF39" si="26">AD23+AE23</f>
        <v>119451.027582636</v>
      </c>
      <c r="AG23" s="72">
        <v>0</v>
      </c>
      <c r="AH23" s="72">
        <v>15500</v>
      </c>
      <c r="AI23" s="73">
        <f t="shared" ref="AI23:AI39" si="27">AG23+AH23</f>
        <v>15500</v>
      </c>
      <c r="AJ23" s="63">
        <f t="shared" si="16"/>
        <v>2149580.1822529109</v>
      </c>
      <c r="AK23" s="63">
        <f t="shared" si="16"/>
        <v>56352.19</v>
      </c>
      <c r="AL23" s="73"/>
    </row>
    <row r="24" spans="1:38" x14ac:dyDescent="0.25">
      <c r="A24" s="7" t="s">
        <v>23</v>
      </c>
      <c r="B24" s="8" t="s">
        <v>3</v>
      </c>
      <c r="C24" s="151">
        <v>18745.8094976715</v>
      </c>
      <c r="D24" s="64">
        <v>5000</v>
      </c>
      <c r="E24" s="74">
        <f t="shared" si="17"/>
        <v>23745.8094976715</v>
      </c>
      <c r="F24" s="151">
        <v>202158.46700314101</v>
      </c>
      <c r="G24" s="64"/>
      <c r="H24" s="74">
        <f t="shared" si="18"/>
        <v>202158.46700314101</v>
      </c>
      <c r="I24" s="170">
        <v>21636.239826148099</v>
      </c>
      <c r="J24" s="170">
        <f>3009+4529</f>
        <v>7538</v>
      </c>
      <c r="K24" s="176">
        <f t="shared" si="19"/>
        <v>29174.239826148099</v>
      </c>
      <c r="L24" s="151">
        <v>34688.271964966698</v>
      </c>
      <c r="M24" s="64"/>
      <c r="N24" s="74">
        <f t="shared" si="20"/>
        <v>34688.271964966698</v>
      </c>
      <c r="O24" s="151">
        <v>39176.578564943899</v>
      </c>
      <c r="P24" s="151"/>
      <c r="Q24" s="261">
        <f t="shared" si="21"/>
        <v>39176.578564943899</v>
      </c>
      <c r="R24" s="292">
        <v>17038.742324020099</v>
      </c>
      <c r="S24" s="288">
        <f>3391+1356+4361</f>
        <v>9108</v>
      </c>
      <c r="T24" s="299">
        <f t="shared" si="22"/>
        <v>26146.742324020099</v>
      </c>
      <c r="U24" s="390">
        <v>114894.33107647899</v>
      </c>
      <c r="V24" s="384"/>
      <c r="W24" s="398">
        <f t="shared" si="23"/>
        <v>114894.33107647899</v>
      </c>
      <c r="X24" s="151">
        <v>35580.813638686901</v>
      </c>
      <c r="Y24" s="64"/>
      <c r="Z24" s="74">
        <f t="shared" si="24"/>
        <v>35580.813638686901</v>
      </c>
      <c r="AA24" s="151">
        <v>195272.32493954699</v>
      </c>
      <c r="AB24" s="64">
        <f>67189+5246</f>
        <v>72435</v>
      </c>
      <c r="AC24" s="74">
        <f t="shared" si="25"/>
        <v>267707.32493954699</v>
      </c>
      <c r="AD24" s="151">
        <v>96293.477475736494</v>
      </c>
      <c r="AE24" s="64"/>
      <c r="AF24" s="74">
        <f t="shared" si="26"/>
        <v>96293.477475736494</v>
      </c>
      <c r="AG24" s="151">
        <v>9361.8700529755806</v>
      </c>
      <c r="AH24" s="64">
        <v>9000</v>
      </c>
      <c r="AI24" s="74">
        <f t="shared" si="27"/>
        <v>18361.870052975581</v>
      </c>
      <c r="AJ24" s="63">
        <f t="shared" si="16"/>
        <v>784846.92636431626</v>
      </c>
      <c r="AK24" s="63">
        <f t="shared" si="16"/>
        <v>103081</v>
      </c>
      <c r="AL24" s="74"/>
    </row>
    <row r="25" spans="1:38" x14ac:dyDescent="0.25">
      <c r="A25" s="18" t="s">
        <v>24</v>
      </c>
      <c r="B25" s="19" t="s">
        <v>3</v>
      </c>
      <c r="C25" s="153">
        <v>23404.074709660901</v>
      </c>
      <c r="D25" s="75"/>
      <c r="E25" s="76">
        <f t="shared" si="17"/>
        <v>23404.074709660901</v>
      </c>
      <c r="F25" s="153">
        <v>360055.41243524401</v>
      </c>
      <c r="G25" s="252">
        <f>150000+274775.23</f>
        <v>424775.23</v>
      </c>
      <c r="H25" s="76">
        <f t="shared" si="18"/>
        <v>784830.64243524405</v>
      </c>
      <c r="I25" s="177">
        <v>16126.1739524976</v>
      </c>
      <c r="J25" s="177"/>
      <c r="K25" s="178">
        <f t="shared" si="19"/>
        <v>16126.1739524976</v>
      </c>
      <c r="L25" s="153">
        <v>69429.718668516594</v>
      </c>
      <c r="M25" s="252">
        <v>15884</v>
      </c>
      <c r="N25" s="76">
        <f t="shared" si="20"/>
        <v>85313.718668516594</v>
      </c>
      <c r="O25" s="153">
        <v>41333.231565861402</v>
      </c>
      <c r="P25" s="153"/>
      <c r="Q25" s="262">
        <f t="shared" si="21"/>
        <v>41333.231565861402</v>
      </c>
      <c r="R25" s="300">
        <v>16826.229258342701</v>
      </c>
      <c r="S25" s="301"/>
      <c r="T25" s="302">
        <f t="shared" si="22"/>
        <v>16826.229258342701</v>
      </c>
      <c r="U25" s="395">
        <v>187756.70141377399</v>
      </c>
      <c r="V25" s="399">
        <v>80000</v>
      </c>
      <c r="W25" s="397">
        <f t="shared" si="23"/>
        <v>267756.70141377399</v>
      </c>
      <c r="X25" s="153">
        <v>25400.064837827202</v>
      </c>
      <c r="Y25" s="75"/>
      <c r="Z25" s="76">
        <f t="shared" si="24"/>
        <v>25400.064837827202</v>
      </c>
      <c r="AA25" s="153">
        <v>343526.17228684103</v>
      </c>
      <c r="AB25" s="75">
        <v>79969</v>
      </c>
      <c r="AC25" s="76">
        <f t="shared" si="25"/>
        <v>423495.17228684103</v>
      </c>
      <c r="AD25" s="153">
        <v>85361.887040405694</v>
      </c>
      <c r="AE25" s="75"/>
      <c r="AF25" s="76">
        <f t="shared" si="26"/>
        <v>85361.887040405694</v>
      </c>
      <c r="AG25" s="153">
        <v>11120.002814060401</v>
      </c>
      <c r="AH25" s="75"/>
      <c r="AI25" s="76">
        <f t="shared" si="27"/>
        <v>11120.002814060401</v>
      </c>
      <c r="AJ25" s="63">
        <f t="shared" si="16"/>
        <v>1180339.6689830313</v>
      </c>
      <c r="AK25" s="63">
        <f t="shared" si="16"/>
        <v>600628.23</v>
      </c>
      <c r="AL25" s="76"/>
    </row>
    <row r="26" spans="1:38" x14ac:dyDescent="0.25">
      <c r="A26" s="20" t="s">
        <v>25</v>
      </c>
      <c r="B26" s="19" t="s">
        <v>3</v>
      </c>
      <c r="C26" s="153">
        <v>20330.132490338259</v>
      </c>
      <c r="D26" s="75"/>
      <c r="E26" s="76">
        <f t="shared" si="17"/>
        <v>20330.132490338259</v>
      </c>
      <c r="F26" s="153">
        <v>240992.78329687429</v>
      </c>
      <c r="G26" s="75"/>
      <c r="H26" s="76">
        <f t="shared" si="18"/>
        <v>240992.78329687429</v>
      </c>
      <c r="I26" s="177">
        <v>7880.7856073373096</v>
      </c>
      <c r="J26" s="177"/>
      <c r="K26" s="178">
        <f t="shared" si="19"/>
        <v>7880.7856073373096</v>
      </c>
      <c r="L26" s="153">
        <v>58394.139928487995</v>
      </c>
      <c r="M26" s="75"/>
      <c r="N26" s="76">
        <f t="shared" si="20"/>
        <v>58394.139928487995</v>
      </c>
      <c r="O26" s="153">
        <v>33738.560803919077</v>
      </c>
      <c r="P26" s="153"/>
      <c r="Q26" s="262">
        <f t="shared" si="21"/>
        <v>33738.560803919077</v>
      </c>
      <c r="R26" s="300">
        <v>13482.37226442803</v>
      </c>
      <c r="S26" s="301"/>
      <c r="T26" s="302">
        <f t="shared" si="22"/>
        <v>13482.37226442803</v>
      </c>
      <c r="U26" s="395">
        <v>182473.64274539999</v>
      </c>
      <c r="V26" s="396"/>
      <c r="W26" s="397">
        <f t="shared" si="23"/>
        <v>182473.64274539999</v>
      </c>
      <c r="X26" s="153">
        <v>16022.447455701633</v>
      </c>
      <c r="Y26" s="75"/>
      <c r="Z26" s="76">
        <f t="shared" si="24"/>
        <v>16022.447455701633</v>
      </c>
      <c r="AA26" s="153">
        <v>266936.77428313601</v>
      </c>
      <c r="AB26" s="75"/>
      <c r="AC26" s="76">
        <f t="shared" si="25"/>
        <v>266936.77428313601</v>
      </c>
      <c r="AD26" s="153">
        <v>62832.424438579998</v>
      </c>
      <c r="AE26" s="75"/>
      <c r="AF26" s="76">
        <f t="shared" si="26"/>
        <v>62832.424438579998</v>
      </c>
      <c r="AG26" s="153">
        <v>9480.4355265477498</v>
      </c>
      <c r="AH26" s="75"/>
      <c r="AI26" s="76">
        <f t="shared" si="27"/>
        <v>9480.4355265477498</v>
      </c>
      <c r="AJ26" s="63">
        <f t="shared" si="16"/>
        <v>912564.49884075031</v>
      </c>
      <c r="AK26" s="63">
        <f t="shared" si="16"/>
        <v>0</v>
      </c>
      <c r="AL26" s="76"/>
    </row>
    <row r="27" spans="1:38" x14ac:dyDescent="0.25">
      <c r="A27" s="18" t="s">
        <v>26</v>
      </c>
      <c r="B27" s="19" t="s">
        <v>3</v>
      </c>
      <c r="C27" s="153">
        <v>0</v>
      </c>
      <c r="D27" s="75">
        <v>2386</v>
      </c>
      <c r="E27" s="76">
        <f t="shared" si="17"/>
        <v>2386</v>
      </c>
      <c r="F27" s="153">
        <v>0</v>
      </c>
      <c r="G27" s="75">
        <v>7076</v>
      </c>
      <c r="H27" s="76">
        <f t="shared" si="18"/>
        <v>7076</v>
      </c>
      <c r="I27" s="177">
        <v>0</v>
      </c>
      <c r="J27" s="177">
        <f>1971</f>
        <v>1971</v>
      </c>
      <c r="K27" s="178">
        <f t="shared" si="19"/>
        <v>1971</v>
      </c>
      <c r="L27" s="153">
        <v>0</v>
      </c>
      <c r="M27" s="75">
        <f>6384</f>
        <v>6384</v>
      </c>
      <c r="N27" s="76">
        <f t="shared" si="20"/>
        <v>6384</v>
      </c>
      <c r="O27" s="153">
        <v>0</v>
      </c>
      <c r="P27" s="153">
        <v>3645</v>
      </c>
      <c r="Q27" s="262">
        <f t="shared" si="21"/>
        <v>3645</v>
      </c>
      <c r="R27" s="300">
        <v>0</v>
      </c>
      <c r="S27" s="301">
        <v>1681</v>
      </c>
      <c r="T27" s="302">
        <f t="shared" si="22"/>
        <v>1681</v>
      </c>
      <c r="U27" s="395">
        <v>0</v>
      </c>
      <c r="V27" s="396">
        <v>15084</v>
      </c>
      <c r="W27" s="397">
        <f t="shared" si="23"/>
        <v>15084</v>
      </c>
      <c r="X27" s="153">
        <v>0</v>
      </c>
      <c r="Y27" s="75">
        <v>2784</v>
      </c>
      <c r="Z27" s="76">
        <f t="shared" si="24"/>
        <v>2784</v>
      </c>
      <c r="AA27" s="153">
        <v>0</v>
      </c>
      <c r="AB27" s="75">
        <v>7217</v>
      </c>
      <c r="AC27" s="76">
        <f t="shared" si="25"/>
        <v>7217</v>
      </c>
      <c r="AD27" s="153">
        <v>0</v>
      </c>
      <c r="AE27" s="75">
        <v>7825.2</v>
      </c>
      <c r="AF27" s="76">
        <f t="shared" si="26"/>
        <v>7825.2</v>
      </c>
      <c r="AG27" s="153">
        <v>0</v>
      </c>
      <c r="AH27" s="75">
        <v>1395</v>
      </c>
      <c r="AI27" s="76">
        <f t="shared" si="27"/>
        <v>1395</v>
      </c>
      <c r="AJ27" s="63">
        <f t="shared" si="16"/>
        <v>0</v>
      </c>
      <c r="AK27" s="63">
        <f t="shared" si="16"/>
        <v>57448.2</v>
      </c>
      <c r="AL27" s="76"/>
    </row>
    <row r="28" spans="1:38" x14ac:dyDescent="0.25">
      <c r="A28" s="21" t="s">
        <v>27</v>
      </c>
      <c r="B28" s="22" t="s">
        <v>19</v>
      </c>
      <c r="C28" s="77">
        <f>SUM(C24:C27)</f>
        <v>62480.016697670668</v>
      </c>
      <c r="D28" s="77">
        <f>SUM(D24:D27)</f>
        <v>7386</v>
      </c>
      <c r="E28" s="78">
        <f t="shared" si="17"/>
        <v>69866.016697670668</v>
      </c>
      <c r="F28" s="77">
        <f>SUM(F24:F27)</f>
        <v>803206.66273525928</v>
      </c>
      <c r="G28" s="77">
        <f>SUM(G24:G27)</f>
        <v>431851.23</v>
      </c>
      <c r="H28" s="78">
        <f t="shared" si="18"/>
        <v>1235057.8927352591</v>
      </c>
      <c r="I28" s="179">
        <f>SUM(I24:I27)</f>
        <v>45643.199385983011</v>
      </c>
      <c r="J28" s="179">
        <f>SUM(J24:J27)</f>
        <v>9509</v>
      </c>
      <c r="K28" s="180">
        <f t="shared" si="19"/>
        <v>55152.199385983011</v>
      </c>
      <c r="L28" s="77">
        <f>SUM(L24:L27)</f>
        <v>162512.13056197128</v>
      </c>
      <c r="M28" s="77">
        <f>SUM(M24:M27)</f>
        <v>22268</v>
      </c>
      <c r="N28" s="78">
        <f t="shared" si="20"/>
        <v>184780.13056197128</v>
      </c>
      <c r="O28" s="263">
        <f>SUM(O24:O27)</f>
        <v>114248.37093472437</v>
      </c>
      <c r="P28" s="263">
        <f>SUM(P24:P27)</f>
        <v>3645</v>
      </c>
      <c r="Q28" s="264">
        <f t="shared" si="21"/>
        <v>117893.37093472437</v>
      </c>
      <c r="R28" s="303">
        <f>SUM(R24:R27)</f>
        <v>47347.343846790827</v>
      </c>
      <c r="S28" s="303">
        <f>SUM(S24:S27)</f>
        <v>10789</v>
      </c>
      <c r="T28" s="304">
        <f t="shared" si="22"/>
        <v>58136.343846790827</v>
      </c>
      <c r="U28" s="385">
        <f>SUM(U24:U27)</f>
        <v>485124.67523565295</v>
      </c>
      <c r="V28" s="385">
        <f>SUM(V24:V27)</f>
        <v>95084</v>
      </c>
      <c r="W28" s="400">
        <f t="shared" si="23"/>
        <v>580208.67523565295</v>
      </c>
      <c r="X28" s="77">
        <f>SUM(X24:X27)</f>
        <v>77003.325932215739</v>
      </c>
      <c r="Y28" s="77">
        <f>SUM(Y24:Y27)</f>
        <v>2784</v>
      </c>
      <c r="Z28" s="78">
        <f t="shared" si="24"/>
        <v>79787.325932215739</v>
      </c>
      <c r="AA28" s="77">
        <f>SUM(AA24:AA27)</f>
        <v>805735.27150952397</v>
      </c>
      <c r="AB28" s="77">
        <f>SUM(AB24:AB27)</f>
        <v>159621</v>
      </c>
      <c r="AC28" s="78">
        <f t="shared" si="25"/>
        <v>965356.27150952397</v>
      </c>
      <c r="AD28" s="77">
        <f>SUM(AD24:AD27)</f>
        <v>244487.78895472217</v>
      </c>
      <c r="AE28" s="77">
        <f>SUM(AE24:AE27)</f>
        <v>7825.2</v>
      </c>
      <c r="AF28" s="78">
        <f t="shared" si="26"/>
        <v>252312.98895472218</v>
      </c>
      <c r="AG28" s="77">
        <f>SUM(AG24:AG27)</f>
        <v>29962.308393583731</v>
      </c>
      <c r="AH28" s="77">
        <f>SUM(AH24:AH27)</f>
        <v>10395</v>
      </c>
      <c r="AI28" s="78">
        <f t="shared" si="27"/>
        <v>40357.308393583735</v>
      </c>
      <c r="AJ28" s="77">
        <f t="shared" si="16"/>
        <v>2877751.0941880979</v>
      </c>
      <c r="AK28" s="77">
        <f t="shared" si="16"/>
        <v>761157.42999999993</v>
      </c>
      <c r="AL28" s="78"/>
    </row>
    <row r="29" spans="1:38" x14ac:dyDescent="0.25">
      <c r="A29" s="7" t="s">
        <v>28</v>
      </c>
      <c r="B29" s="23" t="s">
        <v>3</v>
      </c>
      <c r="C29" s="154">
        <v>30279.085524303369</v>
      </c>
      <c r="D29" s="79"/>
      <c r="E29" s="76">
        <f t="shared" si="17"/>
        <v>30279.085524303369</v>
      </c>
      <c r="F29" s="253">
        <v>405204.16372912528</v>
      </c>
      <c r="G29" s="79"/>
      <c r="H29" s="76">
        <f t="shared" si="18"/>
        <v>405204.16372912528</v>
      </c>
      <c r="I29" s="181">
        <v>21860.032277150502</v>
      </c>
      <c r="J29" s="182"/>
      <c r="K29" s="178">
        <f t="shared" si="19"/>
        <v>21860.032277150502</v>
      </c>
      <c r="L29" s="253">
        <v>85221.218156475807</v>
      </c>
      <c r="M29" s="79"/>
      <c r="N29" s="76">
        <f t="shared" si="20"/>
        <v>85221.218156475807</v>
      </c>
      <c r="O29" s="253">
        <v>51251.057596112441</v>
      </c>
      <c r="P29" s="154">
        <v>5495.39</v>
      </c>
      <c r="Q29" s="262">
        <f t="shared" si="21"/>
        <v>56746.447596112441</v>
      </c>
      <c r="R29" s="305">
        <v>21705.251015042042</v>
      </c>
      <c r="S29" s="306"/>
      <c r="T29" s="302">
        <f t="shared" si="22"/>
        <v>21705.251015042042</v>
      </c>
      <c r="U29" s="401">
        <v>224869.46238538</v>
      </c>
      <c r="V29" s="396"/>
      <c r="W29" s="397">
        <f t="shared" si="23"/>
        <v>224869.46238538</v>
      </c>
      <c r="X29" s="253">
        <v>35509.41203638057</v>
      </c>
      <c r="Y29" s="443">
        <v>1830</v>
      </c>
      <c r="Z29" s="76">
        <f t="shared" si="24"/>
        <v>37339.41203638057</v>
      </c>
      <c r="AA29" s="253">
        <v>394505.53717916762</v>
      </c>
      <c r="AB29" s="79"/>
      <c r="AC29" s="76">
        <f t="shared" si="25"/>
        <v>394505.53717916762</v>
      </c>
      <c r="AD29" s="253">
        <v>108107.78251085264</v>
      </c>
      <c r="AE29" s="79"/>
      <c r="AF29" s="76">
        <f t="shared" si="26"/>
        <v>108107.78251085264</v>
      </c>
      <c r="AG29" s="253">
        <v>15411.215333799053</v>
      </c>
      <c r="AH29" s="79"/>
      <c r="AI29" s="76">
        <f t="shared" si="27"/>
        <v>15411.215333799053</v>
      </c>
      <c r="AJ29" s="63">
        <f t="shared" si="16"/>
        <v>1393924.2177437893</v>
      </c>
      <c r="AK29" s="63">
        <f t="shared" si="16"/>
        <v>7325.39</v>
      </c>
      <c r="AL29" s="63">
        <f t="shared" si="16"/>
        <v>1401249.6077437894</v>
      </c>
    </row>
    <row r="30" spans="1:38" x14ac:dyDescent="0.25">
      <c r="A30" s="18" t="s">
        <v>29</v>
      </c>
      <c r="B30" s="19" t="s">
        <v>3</v>
      </c>
      <c r="C30" s="155">
        <f>C31+C32+C33+C34</f>
        <v>0</v>
      </c>
      <c r="D30" s="155">
        <f>D31+D32+D33+D34</f>
        <v>10000</v>
      </c>
      <c r="E30" s="76">
        <f t="shared" si="17"/>
        <v>10000</v>
      </c>
      <c r="F30" s="80">
        <f>F31+F32+F33+F34</f>
        <v>0</v>
      </c>
      <c r="G30" s="80">
        <f>G31+G32+G33+G34</f>
        <v>414241</v>
      </c>
      <c r="H30" s="76">
        <f t="shared" si="18"/>
        <v>414241</v>
      </c>
      <c r="I30" s="183">
        <f>I31+I32+I33+I34</f>
        <v>0</v>
      </c>
      <c r="J30" s="183">
        <f>J31+J32+J33+J34</f>
        <v>18000</v>
      </c>
      <c r="K30" s="178">
        <f t="shared" si="19"/>
        <v>18000</v>
      </c>
      <c r="L30" s="80">
        <f>L31+L32+L33+L34</f>
        <v>0</v>
      </c>
      <c r="M30" s="80">
        <f>M31+M32+M33+M34</f>
        <v>63930</v>
      </c>
      <c r="N30" s="76">
        <f t="shared" si="20"/>
        <v>63930</v>
      </c>
      <c r="O30" s="80">
        <f>O31+O32+O33+O34</f>
        <v>0</v>
      </c>
      <c r="P30" s="265">
        <f>P31+P32+P33+P34</f>
        <v>15135.56</v>
      </c>
      <c r="Q30" s="262">
        <f t="shared" si="21"/>
        <v>15135.56</v>
      </c>
      <c r="R30" s="307">
        <f>R31+R32+R33+R34</f>
        <v>0</v>
      </c>
      <c r="S30" s="307">
        <f>S31+S32+S33+S34</f>
        <v>11239</v>
      </c>
      <c r="T30" s="302">
        <f t="shared" si="22"/>
        <v>11239</v>
      </c>
      <c r="U30" s="385">
        <f>U31+U32+U33+U34</f>
        <v>0</v>
      </c>
      <c r="V30" s="385">
        <f>V31+V32+V33+V34</f>
        <v>0</v>
      </c>
      <c r="W30" s="397">
        <f t="shared" si="23"/>
        <v>0</v>
      </c>
      <c r="X30" s="80">
        <f>X31+X32+X33+X34</f>
        <v>0</v>
      </c>
      <c r="Y30" s="80">
        <f>Y31+Y32+Y33+Y34</f>
        <v>12000</v>
      </c>
      <c r="Z30" s="76">
        <f t="shared" si="24"/>
        <v>12000</v>
      </c>
      <c r="AA30" s="80">
        <f>AA31+AA32+AA33+AA34</f>
        <v>0</v>
      </c>
      <c r="AB30" s="80">
        <f>AB31+AB32+AB33+AB34</f>
        <v>283565</v>
      </c>
      <c r="AC30" s="76">
        <f t="shared" si="25"/>
        <v>283565</v>
      </c>
      <c r="AD30" s="80">
        <f>AD31+AD32+AD33+AD34</f>
        <v>0</v>
      </c>
      <c r="AE30" s="80">
        <f>AE31+AE32+AE33+AE34</f>
        <v>29960</v>
      </c>
      <c r="AF30" s="76">
        <f t="shared" si="26"/>
        <v>29960</v>
      </c>
      <c r="AG30" s="80">
        <f>AG31+AG32+AG33+AG34</f>
        <v>0</v>
      </c>
      <c r="AH30" s="80">
        <f>AH31+AH32+AH33+AH34</f>
        <v>10000</v>
      </c>
      <c r="AI30" s="76">
        <f t="shared" si="27"/>
        <v>10000</v>
      </c>
      <c r="AJ30" s="63">
        <f t="shared" si="16"/>
        <v>0</v>
      </c>
      <c r="AK30" s="63">
        <f t="shared" si="16"/>
        <v>868070.56</v>
      </c>
      <c r="AL30" s="63">
        <f t="shared" si="16"/>
        <v>868070.56</v>
      </c>
    </row>
    <row r="31" spans="1:38" x14ac:dyDescent="0.25">
      <c r="A31" s="24" t="s">
        <v>30</v>
      </c>
      <c r="B31" s="19" t="s">
        <v>3</v>
      </c>
      <c r="C31" s="75"/>
      <c r="D31" s="75"/>
      <c r="E31" s="76">
        <f t="shared" si="17"/>
        <v>0</v>
      </c>
      <c r="F31" s="75"/>
      <c r="G31" s="75"/>
      <c r="H31" s="76">
        <f t="shared" si="18"/>
        <v>0</v>
      </c>
      <c r="I31" s="177"/>
      <c r="J31" s="177"/>
      <c r="K31" s="178">
        <f t="shared" si="19"/>
        <v>0</v>
      </c>
      <c r="L31" s="75">
        <v>0</v>
      </c>
      <c r="M31" s="75"/>
      <c r="N31" s="76">
        <f t="shared" si="20"/>
        <v>0</v>
      </c>
      <c r="O31" s="75">
        <v>0</v>
      </c>
      <c r="P31" s="153"/>
      <c r="Q31" s="262">
        <f t="shared" si="21"/>
        <v>0</v>
      </c>
      <c r="R31" s="301"/>
      <c r="S31" s="301"/>
      <c r="T31" s="302">
        <f t="shared" si="22"/>
        <v>0</v>
      </c>
      <c r="U31" s="396"/>
      <c r="V31" s="396"/>
      <c r="W31" s="397">
        <f t="shared" si="23"/>
        <v>0</v>
      </c>
      <c r="X31" s="153"/>
      <c r="Y31" s="75"/>
      <c r="Z31" s="76">
        <f t="shared" si="24"/>
        <v>0</v>
      </c>
      <c r="AA31" s="75"/>
      <c r="AB31" s="75"/>
      <c r="AC31" s="76">
        <f t="shared" si="25"/>
        <v>0</v>
      </c>
      <c r="AD31" s="75"/>
      <c r="AE31" s="75"/>
      <c r="AF31" s="76">
        <f t="shared" si="26"/>
        <v>0</v>
      </c>
      <c r="AG31" s="153"/>
      <c r="AH31" s="75"/>
      <c r="AI31" s="76">
        <f t="shared" si="27"/>
        <v>0</v>
      </c>
      <c r="AJ31" s="63">
        <f t="shared" si="16"/>
        <v>0</v>
      </c>
      <c r="AK31" s="63">
        <f t="shared" si="16"/>
        <v>0</v>
      </c>
      <c r="AL31" s="63">
        <f t="shared" si="16"/>
        <v>0</v>
      </c>
    </row>
    <row r="32" spans="1:38" x14ac:dyDescent="0.25">
      <c r="A32" s="24" t="s">
        <v>31</v>
      </c>
      <c r="B32" s="19" t="s">
        <v>3</v>
      </c>
      <c r="C32" s="75"/>
      <c r="D32" s="75">
        <v>10000</v>
      </c>
      <c r="E32" s="76">
        <f t="shared" si="17"/>
        <v>10000</v>
      </c>
      <c r="F32" s="75"/>
      <c r="G32" s="75">
        <v>414241</v>
      </c>
      <c r="H32" s="76">
        <f t="shared" si="18"/>
        <v>414241</v>
      </c>
      <c r="I32" s="177"/>
      <c r="J32" s="177">
        <v>18000</v>
      </c>
      <c r="K32" s="178">
        <f t="shared" si="19"/>
        <v>18000</v>
      </c>
      <c r="L32" s="75">
        <v>0</v>
      </c>
      <c r="M32" s="75">
        <v>63930</v>
      </c>
      <c r="N32" s="76">
        <f t="shared" si="20"/>
        <v>63930</v>
      </c>
      <c r="O32" s="75">
        <v>0</v>
      </c>
      <c r="P32" s="153">
        <v>15135.56</v>
      </c>
      <c r="Q32" s="262">
        <f t="shared" si="21"/>
        <v>15135.56</v>
      </c>
      <c r="R32" s="301"/>
      <c r="S32" s="301">
        <v>11239</v>
      </c>
      <c r="T32" s="302">
        <f t="shared" si="22"/>
        <v>11239</v>
      </c>
      <c r="U32" s="396"/>
      <c r="V32" s="396"/>
      <c r="W32" s="397">
        <f t="shared" si="23"/>
        <v>0</v>
      </c>
      <c r="X32" s="153"/>
      <c r="Y32" s="75">
        <v>12000</v>
      </c>
      <c r="Z32" s="76">
        <f t="shared" si="24"/>
        <v>12000</v>
      </c>
      <c r="AA32" s="75"/>
      <c r="AB32" s="75">
        <v>283565</v>
      </c>
      <c r="AC32" s="76">
        <f t="shared" si="25"/>
        <v>283565</v>
      </c>
      <c r="AD32" s="75"/>
      <c r="AE32" s="75">
        <v>29960</v>
      </c>
      <c r="AF32" s="76">
        <f t="shared" si="26"/>
        <v>29960</v>
      </c>
      <c r="AG32" s="153"/>
      <c r="AH32" s="75">
        <v>0</v>
      </c>
      <c r="AI32" s="76">
        <f t="shared" si="27"/>
        <v>0</v>
      </c>
      <c r="AJ32" s="63">
        <f t="shared" si="16"/>
        <v>0</v>
      </c>
      <c r="AK32" s="63">
        <f t="shared" si="16"/>
        <v>858070.56</v>
      </c>
      <c r="AL32" s="63">
        <f t="shared" si="16"/>
        <v>858070.56</v>
      </c>
    </row>
    <row r="33" spans="1:38" x14ac:dyDescent="0.25">
      <c r="A33" s="24" t="s">
        <v>32</v>
      </c>
      <c r="B33" s="19" t="s">
        <v>3</v>
      </c>
      <c r="C33" s="75"/>
      <c r="D33" s="75"/>
      <c r="E33" s="76">
        <f t="shared" si="17"/>
        <v>0</v>
      </c>
      <c r="F33" s="75"/>
      <c r="G33" s="75"/>
      <c r="H33" s="76">
        <f t="shared" si="18"/>
        <v>0</v>
      </c>
      <c r="I33" s="177"/>
      <c r="J33" s="177"/>
      <c r="K33" s="178">
        <f t="shared" si="19"/>
        <v>0</v>
      </c>
      <c r="L33" s="75">
        <v>0</v>
      </c>
      <c r="M33" s="75"/>
      <c r="N33" s="76">
        <f t="shared" si="20"/>
        <v>0</v>
      </c>
      <c r="O33" s="75">
        <v>0</v>
      </c>
      <c r="P33" s="153"/>
      <c r="Q33" s="262">
        <f t="shared" si="21"/>
        <v>0</v>
      </c>
      <c r="R33" s="301"/>
      <c r="S33" s="301"/>
      <c r="T33" s="302">
        <f t="shared" si="22"/>
        <v>0</v>
      </c>
      <c r="U33" s="396"/>
      <c r="V33" s="396"/>
      <c r="W33" s="397">
        <f t="shared" si="23"/>
        <v>0</v>
      </c>
      <c r="X33" s="153"/>
      <c r="Y33" s="75"/>
      <c r="Z33" s="76">
        <f t="shared" si="24"/>
        <v>0</v>
      </c>
      <c r="AA33" s="75"/>
      <c r="AB33" s="75"/>
      <c r="AC33" s="76">
        <f t="shared" si="25"/>
        <v>0</v>
      </c>
      <c r="AD33" s="75"/>
      <c r="AE33" s="75"/>
      <c r="AF33" s="76">
        <f t="shared" si="26"/>
        <v>0</v>
      </c>
      <c r="AG33" s="153"/>
      <c r="AH33" s="75">
        <v>10000</v>
      </c>
      <c r="AI33" s="76">
        <f t="shared" si="27"/>
        <v>10000</v>
      </c>
      <c r="AJ33" s="63">
        <f t="shared" si="16"/>
        <v>0</v>
      </c>
      <c r="AK33" s="63">
        <f t="shared" si="16"/>
        <v>10000</v>
      </c>
      <c r="AL33" s="63">
        <f t="shared" si="16"/>
        <v>10000</v>
      </c>
    </row>
    <row r="34" spans="1:38" x14ac:dyDescent="0.25">
      <c r="A34" s="24" t="s">
        <v>33</v>
      </c>
      <c r="B34" s="19" t="s">
        <v>3</v>
      </c>
      <c r="C34" s="75"/>
      <c r="D34" s="75"/>
      <c r="E34" s="76">
        <f t="shared" si="17"/>
        <v>0</v>
      </c>
      <c r="F34" s="75"/>
      <c r="G34" s="75"/>
      <c r="H34" s="76">
        <f t="shared" si="18"/>
        <v>0</v>
      </c>
      <c r="I34" s="177"/>
      <c r="J34" s="177"/>
      <c r="K34" s="178">
        <f t="shared" si="19"/>
        <v>0</v>
      </c>
      <c r="L34" s="75">
        <v>0</v>
      </c>
      <c r="M34" s="75"/>
      <c r="N34" s="76">
        <f t="shared" si="20"/>
        <v>0</v>
      </c>
      <c r="O34" s="75">
        <v>0</v>
      </c>
      <c r="P34" s="153"/>
      <c r="Q34" s="262">
        <f t="shared" si="21"/>
        <v>0</v>
      </c>
      <c r="R34" s="301"/>
      <c r="S34" s="301"/>
      <c r="T34" s="302">
        <f t="shared" si="22"/>
        <v>0</v>
      </c>
      <c r="U34" s="396"/>
      <c r="V34" s="396"/>
      <c r="W34" s="397">
        <f t="shared" si="23"/>
        <v>0</v>
      </c>
      <c r="X34" s="153"/>
      <c r="Y34" s="75"/>
      <c r="Z34" s="76">
        <f t="shared" si="24"/>
        <v>0</v>
      </c>
      <c r="AA34" s="75"/>
      <c r="AB34" s="75"/>
      <c r="AC34" s="76">
        <f t="shared" si="25"/>
        <v>0</v>
      </c>
      <c r="AD34" s="75"/>
      <c r="AE34" s="75"/>
      <c r="AF34" s="76">
        <f t="shared" si="26"/>
        <v>0</v>
      </c>
      <c r="AG34" s="153"/>
      <c r="AH34" s="75"/>
      <c r="AI34" s="76">
        <f t="shared" si="27"/>
        <v>0</v>
      </c>
      <c r="AJ34" s="63">
        <f t="shared" si="16"/>
        <v>0</v>
      </c>
      <c r="AK34" s="63">
        <f t="shared" si="16"/>
        <v>0</v>
      </c>
      <c r="AL34" s="63">
        <f t="shared" si="16"/>
        <v>0</v>
      </c>
    </row>
    <row r="35" spans="1:38" x14ac:dyDescent="0.25">
      <c r="A35" s="18" t="s">
        <v>34</v>
      </c>
      <c r="B35" s="19" t="s">
        <v>3</v>
      </c>
      <c r="C35" s="156">
        <v>6929.0742295078862</v>
      </c>
      <c r="D35" s="75"/>
      <c r="E35" s="76">
        <f t="shared" si="17"/>
        <v>6929.0742295078862</v>
      </c>
      <c r="F35" s="156">
        <v>92727.031875886634</v>
      </c>
      <c r="G35" s="75"/>
      <c r="H35" s="76">
        <f t="shared" si="18"/>
        <v>92727.031875886634</v>
      </c>
      <c r="I35" s="184">
        <v>5002.4557771481504</v>
      </c>
      <c r="J35" s="177"/>
      <c r="K35" s="178">
        <f t="shared" si="19"/>
        <v>5002.4557771481504</v>
      </c>
      <c r="L35" s="156">
        <v>19502.046918204996</v>
      </c>
      <c r="M35" s="75"/>
      <c r="N35" s="76">
        <f t="shared" si="20"/>
        <v>19502.046918204996</v>
      </c>
      <c r="O35" s="266">
        <f>11728.3060658886-5920.3+900</f>
        <v>6708.0060658886005</v>
      </c>
      <c r="P35" s="153">
        <v>1018.79</v>
      </c>
      <c r="Q35" s="262">
        <f t="shared" si="21"/>
        <v>7726.7960658886004</v>
      </c>
      <c r="R35" s="308">
        <v>4967.0355907087087</v>
      </c>
      <c r="S35" s="301"/>
      <c r="T35" s="302">
        <f t="shared" si="22"/>
        <v>4967.0355907087087</v>
      </c>
      <c r="U35" s="402">
        <f>51459.189398808</f>
        <v>51459.189398807997</v>
      </c>
      <c r="V35" s="396"/>
      <c r="W35" s="397">
        <f t="shared" si="23"/>
        <v>51459.189398807997</v>
      </c>
      <c r="X35" s="156">
        <v>8125.9835819273003</v>
      </c>
      <c r="Y35" s="455">
        <v>2445</v>
      </c>
      <c r="Z35" s="76">
        <f t="shared" si="24"/>
        <v>10570.983581927299</v>
      </c>
      <c r="AA35" s="156">
        <v>90278.755244185217</v>
      </c>
      <c r="AB35" s="75"/>
      <c r="AC35" s="76">
        <f t="shared" si="25"/>
        <v>90278.755244185217</v>
      </c>
      <c r="AD35" s="156">
        <v>24739.414577231575</v>
      </c>
      <c r="AE35" s="75"/>
      <c r="AF35" s="76">
        <f t="shared" si="26"/>
        <v>24739.414577231575</v>
      </c>
      <c r="AG35" s="156">
        <v>3526.7067405028774</v>
      </c>
      <c r="AH35" s="75"/>
      <c r="AI35" s="76">
        <f t="shared" si="27"/>
        <v>3526.7067405028774</v>
      </c>
      <c r="AJ35" s="63">
        <f t="shared" si="16"/>
        <v>313965.6999999999</v>
      </c>
      <c r="AK35" s="63">
        <f t="shared" si="16"/>
        <v>3463.79</v>
      </c>
      <c r="AL35" s="63">
        <f t="shared" si="16"/>
        <v>317429.48999999993</v>
      </c>
    </row>
    <row r="36" spans="1:38" ht="18.75" x14ac:dyDescent="0.25">
      <c r="A36" s="18" t="s">
        <v>35</v>
      </c>
      <c r="B36" s="489" t="s">
        <v>3</v>
      </c>
      <c r="C36" s="75">
        <v>0</v>
      </c>
      <c r="D36" s="75"/>
      <c r="E36" s="76">
        <f t="shared" si="17"/>
        <v>0</v>
      </c>
      <c r="F36" s="75">
        <v>0</v>
      </c>
      <c r="G36" s="75"/>
      <c r="H36" s="76">
        <f t="shared" si="18"/>
        <v>0</v>
      </c>
      <c r="I36" s="177">
        <v>0</v>
      </c>
      <c r="J36" s="177"/>
      <c r="K36" s="178">
        <f t="shared" si="19"/>
        <v>0</v>
      </c>
      <c r="L36" s="75">
        <v>0</v>
      </c>
      <c r="M36" s="75"/>
      <c r="N36" s="76">
        <f t="shared" si="20"/>
        <v>0</v>
      </c>
      <c r="O36" s="75">
        <v>0</v>
      </c>
      <c r="P36" s="153">
        <v>10380.17</v>
      </c>
      <c r="Q36" s="262">
        <f t="shared" si="21"/>
        <v>10380.17</v>
      </c>
      <c r="R36" s="301">
        <v>0</v>
      </c>
      <c r="S36" s="301"/>
      <c r="T36" s="302">
        <f t="shared" si="22"/>
        <v>0</v>
      </c>
      <c r="U36" s="396">
        <v>0</v>
      </c>
      <c r="V36" s="396"/>
      <c r="W36" s="397">
        <f t="shared" si="23"/>
        <v>0</v>
      </c>
      <c r="X36" s="153">
        <v>0</v>
      </c>
      <c r="Y36" s="75"/>
      <c r="Z36" s="76">
        <f t="shared" si="24"/>
        <v>0</v>
      </c>
      <c r="AA36" s="75">
        <v>0</v>
      </c>
      <c r="AB36" s="75"/>
      <c r="AC36" s="76">
        <f t="shared" si="25"/>
        <v>0</v>
      </c>
      <c r="AD36" s="75">
        <v>0</v>
      </c>
      <c r="AE36" s="75"/>
      <c r="AF36" s="76">
        <f t="shared" si="26"/>
        <v>0</v>
      </c>
      <c r="AG36" s="153">
        <v>0</v>
      </c>
      <c r="AH36" s="75"/>
      <c r="AI36" s="76">
        <f t="shared" si="27"/>
        <v>0</v>
      </c>
      <c r="AJ36" s="63">
        <f t="shared" si="16"/>
        <v>0</v>
      </c>
      <c r="AK36" s="63">
        <f t="shared" si="16"/>
        <v>10380.17</v>
      </c>
      <c r="AL36" s="63">
        <f t="shared" si="16"/>
        <v>10380.17</v>
      </c>
    </row>
    <row r="37" spans="1:38" x14ac:dyDescent="0.25">
      <c r="A37" s="10" t="s">
        <v>36</v>
      </c>
      <c r="B37" s="490" t="s">
        <v>19</v>
      </c>
      <c r="C37" s="485">
        <f>C36+C35+C30+C29</f>
        <v>37208.159753811255</v>
      </c>
      <c r="D37" s="77">
        <f>D36+D35+D30+D29</f>
        <v>10000</v>
      </c>
      <c r="E37" s="78">
        <f t="shared" si="17"/>
        <v>47208.159753811255</v>
      </c>
      <c r="F37" s="77">
        <f>F36+F35+F30+F29</f>
        <v>497931.19560501189</v>
      </c>
      <c r="G37" s="77">
        <f>G36+G35+G30+G29</f>
        <v>414241</v>
      </c>
      <c r="H37" s="78">
        <f t="shared" si="18"/>
        <v>912172.19560501189</v>
      </c>
      <c r="I37" s="185">
        <f>I36+I35+I30+I29</f>
        <v>26862.48805429865</v>
      </c>
      <c r="J37" s="185">
        <f>J36+J35+J30+J29</f>
        <v>18000</v>
      </c>
      <c r="K37" s="180">
        <f t="shared" si="19"/>
        <v>44862.48805429865</v>
      </c>
      <c r="L37" s="77">
        <f>L36+L35+L30+L29</f>
        <v>104723.26507468081</v>
      </c>
      <c r="M37" s="77">
        <f>M36+M35+M30+M29</f>
        <v>63930</v>
      </c>
      <c r="N37" s="78">
        <f t="shared" si="20"/>
        <v>168653.26507468079</v>
      </c>
      <c r="O37" s="263">
        <f>O36+O35+O30+O29</f>
        <v>57959.063662001041</v>
      </c>
      <c r="P37" s="263">
        <f>P36+P35+P30+P29</f>
        <v>32029.909999999996</v>
      </c>
      <c r="Q37" s="264">
        <f t="shared" si="21"/>
        <v>89988.973662001037</v>
      </c>
      <c r="R37" s="303">
        <f>R36+R35+R30+R29</f>
        <v>26672.286605750749</v>
      </c>
      <c r="S37" s="303">
        <f>S36+S35+S30+S29</f>
        <v>11239</v>
      </c>
      <c r="T37" s="304">
        <f t="shared" si="22"/>
        <v>37911.286605750749</v>
      </c>
      <c r="U37" s="385">
        <f>U36+U35+U30+U29</f>
        <v>276328.651784188</v>
      </c>
      <c r="V37" s="385">
        <f>V36+V35+V30+V29</f>
        <v>0</v>
      </c>
      <c r="W37" s="400">
        <f t="shared" si="23"/>
        <v>276328.651784188</v>
      </c>
      <c r="X37" s="77">
        <f>X36+X35+X30+X29</f>
        <v>43635.39561830787</v>
      </c>
      <c r="Y37" s="77">
        <f>Y36+Y35+Y30+Y29</f>
        <v>16275</v>
      </c>
      <c r="Z37" s="78">
        <f t="shared" si="24"/>
        <v>59910.39561830787</v>
      </c>
      <c r="AA37" s="77">
        <f>AA36+AA35+AA30+AA29</f>
        <v>484784.29242335283</v>
      </c>
      <c r="AB37" s="77">
        <f>AB36+AB35+AB30+AB29</f>
        <v>283565</v>
      </c>
      <c r="AC37" s="78">
        <f t="shared" si="25"/>
        <v>768349.29242335283</v>
      </c>
      <c r="AD37" s="77">
        <f>AD36+AD35+AD30+AD29</f>
        <v>132847.19708808421</v>
      </c>
      <c r="AE37" s="77">
        <f>AE36+AE35+AE30+AE29</f>
        <v>29960</v>
      </c>
      <c r="AF37" s="78">
        <f t="shared" si="26"/>
        <v>162807.19708808421</v>
      </c>
      <c r="AG37" s="77">
        <f>AG36+AG35+AG30+AG29</f>
        <v>18937.922074301932</v>
      </c>
      <c r="AH37" s="77">
        <f>AH36+AH35+AH30+AH29</f>
        <v>10000</v>
      </c>
      <c r="AI37" s="78">
        <f t="shared" si="27"/>
        <v>28937.922074301932</v>
      </c>
      <c r="AJ37" s="77">
        <f t="shared" si="16"/>
        <v>1707889.9177437893</v>
      </c>
      <c r="AK37" s="77">
        <f t="shared" si="16"/>
        <v>889239.90999999992</v>
      </c>
      <c r="AL37" s="77">
        <f t="shared" si="16"/>
        <v>2597129.8277437887</v>
      </c>
    </row>
    <row r="38" spans="1:38" ht="18.75" x14ac:dyDescent="0.25">
      <c r="A38" s="9" t="s">
        <v>37</v>
      </c>
      <c r="B38" s="490" t="s">
        <v>3</v>
      </c>
      <c r="C38" s="481"/>
      <c r="D38" s="81"/>
      <c r="E38" s="74">
        <f t="shared" si="17"/>
        <v>0</v>
      </c>
      <c r="F38" s="81"/>
      <c r="G38" s="81"/>
      <c r="H38" s="74">
        <f t="shared" si="18"/>
        <v>0</v>
      </c>
      <c r="I38" s="186"/>
      <c r="J38" s="186"/>
      <c r="K38" s="176">
        <f t="shared" si="19"/>
        <v>0</v>
      </c>
      <c r="L38" s="81"/>
      <c r="M38" s="81"/>
      <c r="N38" s="74">
        <f t="shared" si="20"/>
        <v>0</v>
      </c>
      <c r="O38" s="81"/>
      <c r="P38" s="81"/>
      <c r="Q38" s="74">
        <f t="shared" si="21"/>
        <v>0</v>
      </c>
      <c r="R38" s="309"/>
      <c r="S38" s="309"/>
      <c r="T38" s="299">
        <f t="shared" si="22"/>
        <v>0</v>
      </c>
      <c r="U38" s="396">
        <v>0</v>
      </c>
      <c r="V38" s="396"/>
      <c r="W38" s="397">
        <f t="shared" si="23"/>
        <v>0</v>
      </c>
      <c r="X38" s="158"/>
      <c r="Y38" s="81"/>
      <c r="Z38" s="74">
        <f t="shared" si="24"/>
        <v>0</v>
      </c>
      <c r="AA38" s="81">
        <v>0</v>
      </c>
      <c r="AB38" s="81"/>
      <c r="AC38" s="74">
        <f t="shared" si="25"/>
        <v>0</v>
      </c>
      <c r="AD38" s="81"/>
      <c r="AE38" s="81"/>
      <c r="AF38" s="74">
        <f t="shared" si="26"/>
        <v>0</v>
      </c>
      <c r="AG38" s="158"/>
      <c r="AH38" s="81"/>
      <c r="AI38" s="74">
        <f t="shared" si="27"/>
        <v>0</v>
      </c>
      <c r="AJ38" s="63">
        <f t="shared" si="16"/>
        <v>0</v>
      </c>
      <c r="AK38" s="63">
        <f t="shared" si="16"/>
        <v>0</v>
      </c>
      <c r="AL38" s="63">
        <f t="shared" si="16"/>
        <v>0</v>
      </c>
    </row>
    <row r="39" spans="1:38" ht="18.75" x14ac:dyDescent="0.25">
      <c r="A39" s="9" t="s">
        <v>38</v>
      </c>
      <c r="B39" s="490" t="s">
        <v>3</v>
      </c>
      <c r="C39" s="486">
        <v>38087.20641866613</v>
      </c>
      <c r="D39" s="81"/>
      <c r="E39" s="74">
        <f t="shared" si="17"/>
        <v>38087.20641866613</v>
      </c>
      <c r="F39" s="157">
        <v>345779.2023748639</v>
      </c>
      <c r="G39" s="81"/>
      <c r="H39" s="74">
        <f t="shared" si="18"/>
        <v>345779.2023748639</v>
      </c>
      <c r="I39" s="187">
        <v>21421.124093553801</v>
      </c>
      <c r="J39" s="186"/>
      <c r="K39" s="176">
        <f t="shared" si="19"/>
        <v>21421.124093553801</v>
      </c>
      <c r="L39" s="157">
        <v>115289.74142307352</v>
      </c>
      <c r="M39" s="81"/>
      <c r="N39" s="74">
        <f t="shared" si="20"/>
        <v>115289.74142307352</v>
      </c>
      <c r="O39" s="157">
        <v>45751.702143764967</v>
      </c>
      <c r="P39" s="81"/>
      <c r="Q39" s="261">
        <f t="shared" si="21"/>
        <v>45751.702143764967</v>
      </c>
      <c r="R39" s="310">
        <v>19191.448080988645</v>
      </c>
      <c r="S39" s="309"/>
      <c r="T39" s="299">
        <f t="shared" si="22"/>
        <v>19191.448080988645</v>
      </c>
      <c r="U39" s="401">
        <v>256291.99491188</v>
      </c>
      <c r="V39" s="396"/>
      <c r="W39" s="398">
        <f t="shared" si="23"/>
        <v>256291.99491188</v>
      </c>
      <c r="X39" s="157">
        <v>33374.809417533965</v>
      </c>
      <c r="Y39" s="81"/>
      <c r="Z39" s="74">
        <f t="shared" si="24"/>
        <v>33374.809417533965</v>
      </c>
      <c r="AA39" s="157">
        <v>142182.3876011807</v>
      </c>
      <c r="AB39" s="81"/>
      <c r="AC39" s="74">
        <f t="shared" si="25"/>
        <v>142182.3876011807</v>
      </c>
      <c r="AD39" s="157">
        <v>105579.62556088268</v>
      </c>
      <c r="AE39" s="81"/>
      <c r="AF39" s="74">
        <f t="shared" si="26"/>
        <v>105579.62556088268</v>
      </c>
      <c r="AG39" s="157">
        <v>10784.56208310552</v>
      </c>
      <c r="AH39" s="81"/>
      <c r="AI39" s="74">
        <f t="shared" si="27"/>
        <v>10784.56208310552</v>
      </c>
      <c r="AJ39" s="77">
        <f t="shared" si="16"/>
        <v>1133733.8041094937</v>
      </c>
      <c r="AK39" s="77">
        <f t="shared" si="16"/>
        <v>0</v>
      </c>
      <c r="AL39" s="77">
        <f t="shared" si="16"/>
        <v>1133733.8041094937</v>
      </c>
    </row>
    <row r="40" spans="1:38" x14ac:dyDescent="0.25">
      <c r="A40" s="7" t="s">
        <v>39</v>
      </c>
      <c r="B40" s="491" t="s">
        <v>10</v>
      </c>
      <c r="C40" s="67">
        <v>0.85799999999999998</v>
      </c>
      <c r="D40" s="67"/>
      <c r="E40" s="68"/>
      <c r="F40" s="67">
        <v>0.3</v>
      </c>
      <c r="G40" s="67"/>
      <c r="H40" s="68"/>
      <c r="I40" s="67">
        <v>0.85799999999999998</v>
      </c>
      <c r="J40" s="67"/>
      <c r="K40" s="68"/>
      <c r="L40" s="67">
        <v>0.85799999999999998</v>
      </c>
      <c r="M40" s="67"/>
      <c r="N40" s="68"/>
      <c r="O40" s="67">
        <v>0.85799999999999998</v>
      </c>
      <c r="P40" s="67"/>
      <c r="Q40" s="259"/>
      <c r="R40" s="67">
        <v>0.85799999999999998</v>
      </c>
      <c r="S40" s="67"/>
      <c r="T40" s="68"/>
      <c r="U40" s="388">
        <v>0.85799999999999998</v>
      </c>
      <c r="V40" s="388"/>
      <c r="W40" s="391"/>
      <c r="X40" s="67">
        <v>0.85799999999999998</v>
      </c>
      <c r="Y40" s="67"/>
      <c r="Z40" s="68"/>
      <c r="AA40" s="67">
        <v>0.66800000000000004</v>
      </c>
      <c r="AB40" s="67"/>
      <c r="AC40" s="68"/>
      <c r="AD40" s="67">
        <v>0.85799999999999998</v>
      </c>
      <c r="AE40" s="67"/>
      <c r="AF40" s="68"/>
      <c r="AG40" s="67">
        <v>0.85799999999999998</v>
      </c>
      <c r="AH40" s="67"/>
      <c r="AI40" s="68"/>
      <c r="AJ40" s="67"/>
      <c r="AK40" s="67"/>
      <c r="AL40" s="68"/>
    </row>
    <row r="41" spans="1:38" x14ac:dyDescent="0.25">
      <c r="A41" s="7" t="s">
        <v>40</v>
      </c>
      <c r="B41" s="491" t="s">
        <v>10</v>
      </c>
      <c r="C41" s="67">
        <v>4</v>
      </c>
      <c r="D41" s="67"/>
      <c r="E41" s="68"/>
      <c r="F41" s="67">
        <v>4</v>
      </c>
      <c r="G41" s="67"/>
      <c r="H41" s="68"/>
      <c r="I41" s="67">
        <v>4</v>
      </c>
      <c r="J41" s="67"/>
      <c r="K41" s="68"/>
      <c r="L41" s="67">
        <v>4</v>
      </c>
      <c r="M41" s="67"/>
      <c r="N41" s="68"/>
      <c r="O41" s="67">
        <v>4</v>
      </c>
      <c r="P41" s="67"/>
      <c r="Q41" s="259"/>
      <c r="R41" s="67">
        <v>4</v>
      </c>
      <c r="S41" s="67"/>
      <c r="T41" s="68"/>
      <c r="U41" s="388">
        <v>4</v>
      </c>
      <c r="V41" s="388"/>
      <c r="W41" s="389"/>
      <c r="X41" s="67">
        <v>4</v>
      </c>
      <c r="Y41" s="67"/>
      <c r="Z41" s="68"/>
      <c r="AA41" s="67">
        <v>4</v>
      </c>
      <c r="AB41" s="67"/>
      <c r="AC41" s="68"/>
      <c r="AD41" s="67">
        <v>4</v>
      </c>
      <c r="AE41" s="67"/>
      <c r="AF41" s="68"/>
      <c r="AG41" s="67">
        <v>4</v>
      </c>
      <c r="AH41" s="67"/>
      <c r="AI41" s="68"/>
      <c r="AJ41" s="67"/>
      <c r="AK41" s="67"/>
      <c r="AL41" s="68"/>
    </row>
    <row r="42" spans="1:38" ht="18.75" x14ac:dyDescent="0.25">
      <c r="A42" s="7" t="s">
        <v>41</v>
      </c>
      <c r="B42" s="490" t="s">
        <v>10</v>
      </c>
      <c r="C42" s="487">
        <f>(C40*C39)/C41</f>
        <v>8169.7057768038849</v>
      </c>
      <c r="D42" s="81"/>
      <c r="E42" s="82">
        <f>C42+D42</f>
        <v>8169.7057768038849</v>
      </c>
      <c r="F42" s="158">
        <f>(F40*F39)/F41</f>
        <v>25933.440178114794</v>
      </c>
      <c r="G42" s="81"/>
      <c r="H42" s="82">
        <f>F42+G42</f>
        <v>25933.440178114794</v>
      </c>
      <c r="I42" s="188">
        <f>(I40*I39)/I41</f>
        <v>4594.8311180672899</v>
      </c>
      <c r="J42" s="186"/>
      <c r="K42" s="189">
        <f>I42+J42</f>
        <v>4594.8311180672899</v>
      </c>
      <c r="L42" s="158">
        <f>(L40*L39)/L41</f>
        <v>24729.649535249268</v>
      </c>
      <c r="M42" s="81"/>
      <c r="N42" s="82">
        <f>L42+M42</f>
        <v>24729.649535249268</v>
      </c>
      <c r="O42" s="157">
        <f>(O40*O39)/O41</f>
        <v>9813.7401098375849</v>
      </c>
      <c r="P42" s="81"/>
      <c r="Q42" s="267">
        <f>O42+P42</f>
        <v>9813.7401098375849</v>
      </c>
      <c r="R42" s="311">
        <f>(R40*R39)/R41</f>
        <v>4116.565613372064</v>
      </c>
      <c r="S42" s="309"/>
      <c r="T42" s="312">
        <f>R42+S42</f>
        <v>4116.565613372064</v>
      </c>
      <c r="U42" s="395">
        <f>(U40*U39)/U41</f>
        <v>54974.632908598258</v>
      </c>
      <c r="V42" s="396"/>
      <c r="W42" s="397">
        <f>U42+V42</f>
        <v>54974.632908598258</v>
      </c>
      <c r="X42" s="158">
        <f>(X40*X39)/X41</f>
        <v>7158.8966200610357</v>
      </c>
      <c r="Y42" s="81"/>
      <c r="Z42" s="82">
        <f>X42+Y42</f>
        <v>7158.8966200610357</v>
      </c>
      <c r="AA42" s="158">
        <f>(AA40*AA39)/AA41</f>
        <v>23744.458729397178</v>
      </c>
      <c r="AB42" s="81"/>
      <c r="AC42" s="82">
        <f>AA42+AB42</f>
        <v>23744.458729397178</v>
      </c>
      <c r="AD42" s="158">
        <f>(AD40*AD39)/AD41</f>
        <v>22646.829682809333</v>
      </c>
      <c r="AE42" s="81"/>
      <c r="AF42" s="82">
        <f>AD42+AE42</f>
        <v>22646.829682809333</v>
      </c>
      <c r="AG42" s="158">
        <f>(AG40*AG39)/AG41</f>
        <v>2313.2885668261342</v>
      </c>
      <c r="AH42" s="81"/>
      <c r="AI42" s="82">
        <f>AG42+AH42</f>
        <v>2313.2885668261342</v>
      </c>
      <c r="AJ42" s="63">
        <f t="shared" ref="AJ42:AJ47" si="28">AG42+AD42+AA42+X42+U42+R42+O42+L42+I42+F42+C42</f>
        <v>188196.03883913683</v>
      </c>
      <c r="AK42" s="63">
        <f t="shared" ref="AK42:AK43" si="29">AH42+AE42+AB42+Y42+V42+S42+P42+M42+J42+G42+D42</f>
        <v>0</v>
      </c>
      <c r="AL42" s="63">
        <f t="shared" ref="AL42:AL43" si="30">AI42+AF42+AC42+Z42+W42+T42+Q42+N42+K42+H42+E42</f>
        <v>188196.03883913683</v>
      </c>
    </row>
    <row r="43" spans="1:38" x14ac:dyDescent="0.25">
      <c r="A43" s="7" t="s">
        <v>20</v>
      </c>
      <c r="B43" s="490" t="s">
        <v>3</v>
      </c>
      <c r="C43" s="481"/>
      <c r="D43" s="64"/>
      <c r="E43" s="74">
        <f>C43+D43</f>
        <v>0</v>
      </c>
      <c r="F43" s="81"/>
      <c r="G43" s="64"/>
      <c r="H43" s="74">
        <f>F43+G43</f>
        <v>0</v>
      </c>
      <c r="I43" s="186"/>
      <c r="J43" s="167"/>
      <c r="K43" s="176">
        <f>I43+J43</f>
        <v>0</v>
      </c>
      <c r="L43" s="81"/>
      <c r="M43" s="64"/>
      <c r="N43" s="74">
        <f>L43+M43</f>
        <v>0</v>
      </c>
      <c r="O43" s="81"/>
      <c r="P43" s="64"/>
      <c r="Q43" s="261">
        <f>O43+P43</f>
        <v>0</v>
      </c>
      <c r="R43" s="309"/>
      <c r="S43" s="288"/>
      <c r="T43" s="299">
        <f>R43+S43</f>
        <v>0</v>
      </c>
      <c r="U43" s="396"/>
      <c r="V43" s="384"/>
      <c r="W43" s="398">
        <f>U43+V43</f>
        <v>0</v>
      </c>
      <c r="X43" s="81"/>
      <c r="Y43" s="64"/>
      <c r="Z43" s="74">
        <f>X43+Y43</f>
        <v>0</v>
      </c>
      <c r="AA43" s="81"/>
      <c r="AB43" s="64"/>
      <c r="AC43" s="74">
        <f>AA43+AB43</f>
        <v>0</v>
      </c>
      <c r="AD43" s="81"/>
      <c r="AE43" s="64"/>
      <c r="AF43" s="74">
        <f>AD43+AE43</f>
        <v>0</v>
      </c>
      <c r="AG43" s="158"/>
      <c r="AH43" s="64"/>
      <c r="AI43" s="74">
        <f>AG43+AH43</f>
        <v>0</v>
      </c>
      <c r="AJ43" s="63">
        <f t="shared" si="28"/>
        <v>0</v>
      </c>
      <c r="AK43" s="63">
        <f t="shared" si="29"/>
        <v>0</v>
      </c>
      <c r="AL43" s="63">
        <f t="shared" si="30"/>
        <v>0</v>
      </c>
    </row>
    <row r="44" spans="1:38" ht="18.75" x14ac:dyDescent="0.25">
      <c r="A44" s="12" t="s">
        <v>42</v>
      </c>
      <c r="B44" s="492" t="s">
        <v>19</v>
      </c>
      <c r="C44" s="84">
        <f>C23+C28+C37+C38+C42+C43</f>
        <v>116035.63266361777</v>
      </c>
      <c r="D44" s="83">
        <f>D23+D28+D37+D38+D42+D43</f>
        <v>22386</v>
      </c>
      <c r="E44" s="84">
        <f>C44+D44</f>
        <v>138421.63266361778</v>
      </c>
      <c r="F44" s="83">
        <f>F23+F28+F37+F38+F42+F43</f>
        <v>2112834.7810188569</v>
      </c>
      <c r="G44" s="83">
        <f>G23+G28+G37+G38+G42+G43</f>
        <v>846092.23</v>
      </c>
      <c r="H44" s="84">
        <f>F44+G44</f>
        <v>2958927.0110188569</v>
      </c>
      <c r="I44" s="190">
        <f>I23+I28+I37+I38+I42+I43</f>
        <v>77100.518558348951</v>
      </c>
      <c r="J44" s="190">
        <f>J23+J28+J37+J38+J42+J43</f>
        <v>34260</v>
      </c>
      <c r="K44" s="191">
        <f>I44+J44</f>
        <v>111360.51855834895</v>
      </c>
      <c r="L44" s="83">
        <f>L23+L28+L37+L38+L42+L43</f>
        <v>451444.80136704934</v>
      </c>
      <c r="M44" s="83">
        <f>M23+M28+M37+M38+M42+M43</f>
        <v>86198</v>
      </c>
      <c r="N44" s="84">
        <f>L44+M44</f>
        <v>537642.80136704934</v>
      </c>
      <c r="O44" s="268">
        <f>O23+O28+O37+O38+O42+O43</f>
        <v>182021.174706563</v>
      </c>
      <c r="P44" s="268">
        <f>P23+P28+P37+P38+P42+P43</f>
        <v>35674.909999999996</v>
      </c>
      <c r="Q44" s="269">
        <f>O44+P44</f>
        <v>217696.08470656301</v>
      </c>
      <c r="R44" s="313">
        <f>R23+R28+R37+R38+R42+R43</f>
        <v>78136.196065913638</v>
      </c>
      <c r="S44" s="313">
        <f>S23+S28+S37+S38+S42+S43</f>
        <v>39136</v>
      </c>
      <c r="T44" s="314">
        <f>R44+S44</f>
        <v>117272.19606591364</v>
      </c>
      <c r="U44" s="392">
        <f>U23+U28+U37+U38+U42+U43</f>
        <v>1113893.6320136392</v>
      </c>
      <c r="V44" s="392">
        <f>V23+V28+V37+V38+V42+V43</f>
        <v>95084</v>
      </c>
      <c r="W44" s="403">
        <f>U44+V44</f>
        <v>1208977.6320136392</v>
      </c>
      <c r="X44" s="83">
        <f>X23+X28+X37+X38+X42+X43</f>
        <v>127797.61817058464</v>
      </c>
      <c r="Y44" s="83">
        <f>Y23+Y28+Y37+Y38+Y42+Y43</f>
        <v>21529</v>
      </c>
      <c r="Z44" s="84">
        <f>X44+Y44</f>
        <v>149326.61817058464</v>
      </c>
      <c r="AA44" s="83">
        <f>AA23+AA28+AA37+AA38+AA42+AA43</f>
        <v>2103029.7061163979</v>
      </c>
      <c r="AB44" s="83">
        <f>AB23+AB28+AB37+AB38+AB42+AB43</f>
        <v>443186</v>
      </c>
      <c r="AC44" s="84">
        <f>AA44+AB44</f>
        <v>2546215.7061163979</v>
      </c>
      <c r="AD44" s="83">
        <f>AD23+AD28+AD37+AD38+AD42+AD43</f>
        <v>509909.6533082517</v>
      </c>
      <c r="AE44" s="83">
        <f>AE23+AE28+AE37+AE38+AE42+AE43</f>
        <v>47308.39</v>
      </c>
      <c r="AF44" s="84">
        <f>AD44+AE44</f>
        <v>557218.04330825165</v>
      </c>
      <c r="AG44" s="83">
        <f>AG23+AG28+AG37+AG38+AG42+AG43</f>
        <v>51213.519034711797</v>
      </c>
      <c r="AH44" s="83">
        <f>AH23+AH28+AH37+AH38+AH42+AH43</f>
        <v>35895</v>
      </c>
      <c r="AI44" s="84">
        <f>AG44+AH44</f>
        <v>87108.51903471179</v>
      </c>
      <c r="AJ44" s="83">
        <f>AJ23+AJ28+AJ37+AJ38+AJ42+AJ43</f>
        <v>6923417.233023935</v>
      </c>
      <c r="AK44" s="83">
        <f>AK23+AK28+AK37+AK38+AK42+AK43</f>
        <v>1706749.5299999998</v>
      </c>
      <c r="AL44" s="84">
        <f>AJ44+AK44</f>
        <v>8630166.7630239353</v>
      </c>
    </row>
    <row r="45" spans="1:38" x14ac:dyDescent="0.25">
      <c r="A45" s="7" t="s">
        <v>43</v>
      </c>
      <c r="B45" s="493"/>
      <c r="C45" s="481"/>
      <c r="D45" s="81"/>
      <c r="E45" s="74"/>
      <c r="F45" s="81"/>
      <c r="G45" s="81"/>
      <c r="H45" s="74"/>
      <c r="I45" s="186"/>
      <c r="J45" s="186"/>
      <c r="K45" s="176"/>
      <c r="L45" s="81"/>
      <c r="M45" s="81"/>
      <c r="N45" s="74"/>
      <c r="O45" s="158"/>
      <c r="P45" s="158"/>
      <c r="Q45" s="261"/>
      <c r="R45" s="309"/>
      <c r="S45" s="309"/>
      <c r="T45" s="299"/>
      <c r="U45" s="396"/>
      <c r="V45" s="396"/>
      <c r="W45" s="398"/>
      <c r="X45" s="81"/>
      <c r="Y45" s="81"/>
      <c r="Z45" s="74"/>
      <c r="AA45" s="81"/>
      <c r="AB45" s="81"/>
      <c r="AC45" s="74"/>
      <c r="AD45" s="81"/>
      <c r="AE45" s="81"/>
      <c r="AF45" s="74"/>
      <c r="AG45" s="81"/>
      <c r="AH45" s="81"/>
      <c r="AI45" s="74"/>
      <c r="AJ45" s="63">
        <f t="shared" si="28"/>
        <v>0</v>
      </c>
      <c r="AK45" s="63">
        <f t="shared" ref="AK45:AK47" si="31">AH45+AE45+AB45+Y45+V45+S45+P45+M45+J45+G45+D45</f>
        <v>0</v>
      </c>
      <c r="AL45" s="63">
        <f t="shared" ref="AL45:AL47" si="32">AI45+AF45+AC45+Z45+W45+T45+Q45+N45+K45+H45+E45</f>
        <v>0</v>
      </c>
    </row>
    <row r="46" spans="1:38" ht="19.5" thickBot="1" x14ac:dyDescent="0.3">
      <c r="A46" s="26" t="s">
        <v>44</v>
      </c>
      <c r="B46" s="492" t="s">
        <v>19</v>
      </c>
      <c r="C46" s="84">
        <f t="shared" ref="C46:H46" si="33">C21+C44</f>
        <v>387434.03034798976</v>
      </c>
      <c r="D46" s="83">
        <f t="shared" si="33"/>
        <v>22386</v>
      </c>
      <c r="E46" s="84">
        <f t="shared" si="33"/>
        <v>409820.03034798976</v>
      </c>
      <c r="F46" s="83">
        <f t="shared" si="33"/>
        <v>6447490.5161765683</v>
      </c>
      <c r="G46" s="83">
        <f t="shared" si="33"/>
        <v>846092.23</v>
      </c>
      <c r="H46" s="84">
        <f t="shared" si="33"/>
        <v>7293582.7461765688</v>
      </c>
      <c r="I46" s="190">
        <f>I21+I44</f>
        <v>270341.95548345125</v>
      </c>
      <c r="J46" s="190">
        <f>J21+J44</f>
        <v>36729</v>
      </c>
      <c r="K46" s="191">
        <f>K21+K44</f>
        <v>307070.95548345125</v>
      </c>
      <c r="L46" s="83">
        <f t="shared" ref="L46:N46" si="34">L21+L44</f>
        <v>1187150.9480927861</v>
      </c>
      <c r="M46" s="83">
        <f t="shared" si="34"/>
        <v>86198</v>
      </c>
      <c r="N46" s="84">
        <f t="shared" si="34"/>
        <v>1273348.9480927861</v>
      </c>
      <c r="O46" s="268">
        <f t="shared" ref="O46:Q46" si="35">O21+O44</f>
        <v>688274.0857594891</v>
      </c>
      <c r="P46" s="268">
        <f t="shared" si="35"/>
        <v>35674.909999999996</v>
      </c>
      <c r="Q46" s="269">
        <f t="shared" si="35"/>
        <v>723948.99575948913</v>
      </c>
      <c r="R46" s="313">
        <f t="shared" ref="R46:W46" si="36">R21+R44</f>
        <v>283187.79980323219</v>
      </c>
      <c r="S46" s="313">
        <f t="shared" si="36"/>
        <v>39136</v>
      </c>
      <c r="T46" s="314">
        <f t="shared" si="36"/>
        <v>322323.79980323219</v>
      </c>
      <c r="U46" s="392">
        <f t="shared" si="36"/>
        <v>3189944.4673790056</v>
      </c>
      <c r="V46" s="392">
        <f t="shared" si="36"/>
        <v>95084</v>
      </c>
      <c r="W46" s="403">
        <f t="shared" si="36"/>
        <v>3285028.4673790056</v>
      </c>
      <c r="X46" s="83">
        <f t="shared" ref="X46:AI46" si="37">X21+X44</f>
        <v>429261.710939524</v>
      </c>
      <c r="Y46" s="83">
        <f t="shared" si="37"/>
        <v>21529</v>
      </c>
      <c r="Z46" s="84">
        <f t="shared" si="37"/>
        <v>450790.710939524</v>
      </c>
      <c r="AA46" s="83">
        <f t="shared" si="37"/>
        <v>6117344.4463239592</v>
      </c>
      <c r="AB46" s="83">
        <f t="shared" si="37"/>
        <v>517651</v>
      </c>
      <c r="AC46" s="84">
        <f t="shared" si="37"/>
        <v>6634995.4463239592</v>
      </c>
      <c r="AD46" s="83">
        <f t="shared" si="37"/>
        <v>1449630.4293946472</v>
      </c>
      <c r="AE46" s="83">
        <f t="shared" si="37"/>
        <v>62745.39</v>
      </c>
      <c r="AF46" s="84">
        <f t="shared" si="37"/>
        <v>1512375.8193946471</v>
      </c>
      <c r="AG46" s="83">
        <f t="shared" si="37"/>
        <v>185263.49519960344</v>
      </c>
      <c r="AH46" s="83">
        <f t="shared" si="37"/>
        <v>35895</v>
      </c>
      <c r="AI46" s="84">
        <f t="shared" si="37"/>
        <v>221158.49519960344</v>
      </c>
      <c r="AJ46" s="83">
        <f t="shared" si="28"/>
        <v>20635323.884900257</v>
      </c>
      <c r="AK46" s="83">
        <f t="shared" si="31"/>
        <v>1799120.53</v>
      </c>
      <c r="AL46" s="83">
        <f t="shared" si="32"/>
        <v>22434444.414900258</v>
      </c>
    </row>
    <row r="47" spans="1:38" ht="16.5" thickBot="1" x14ac:dyDescent="0.3">
      <c r="A47" s="28" t="s">
        <v>45</v>
      </c>
      <c r="B47" s="490" t="s">
        <v>10</v>
      </c>
      <c r="C47" s="488"/>
      <c r="D47" s="162">
        <f>2386+1237.67</f>
        <v>3623.67</v>
      </c>
      <c r="E47" s="86">
        <f>C47+D47</f>
        <v>3623.67</v>
      </c>
      <c r="F47" s="85"/>
      <c r="G47" s="162">
        <f>4116.14+224831.92+4265+626</f>
        <v>233839.06000000003</v>
      </c>
      <c r="H47" s="86">
        <f>F47+G47</f>
        <v>233839.06000000003</v>
      </c>
      <c r="I47" s="192"/>
      <c r="J47" s="193">
        <f>2128.13+2689.83</f>
        <v>4817.96</v>
      </c>
      <c r="K47" s="194">
        <f>I47+J47</f>
        <v>4817.96</v>
      </c>
      <c r="L47" s="85"/>
      <c r="M47" s="85">
        <f>4864.3+10354</f>
        <v>15218.3</v>
      </c>
      <c r="N47" s="86">
        <f>L47+M47</f>
        <v>15218.3</v>
      </c>
      <c r="O47" s="270"/>
      <c r="P47" s="270">
        <f>2702.39+9216.56</f>
        <v>11918.949999999999</v>
      </c>
      <c r="Q47" s="271">
        <f>O47+P47</f>
        <v>11918.949999999999</v>
      </c>
      <c r="R47" s="315"/>
      <c r="S47" s="315">
        <f>1069</f>
        <v>1069</v>
      </c>
      <c r="T47" s="316">
        <f>R47+S47</f>
        <v>1069</v>
      </c>
      <c r="U47" s="404"/>
      <c r="V47" s="404">
        <f>34140.21+1037.17</f>
        <v>35177.379999999997</v>
      </c>
      <c r="W47" s="400">
        <f>U47+V47</f>
        <v>35177.379999999997</v>
      </c>
      <c r="X47" s="85"/>
      <c r="Y47" s="85">
        <f>2679.38+6603.45</f>
        <v>9282.83</v>
      </c>
      <c r="Z47" s="86">
        <f>X47+Y47</f>
        <v>9282.83</v>
      </c>
      <c r="AA47" s="85"/>
      <c r="AB47" s="85">
        <f>4134.94+2420</f>
        <v>6554.94</v>
      </c>
      <c r="AC47" s="86">
        <f>AA47+AB47</f>
        <v>6554.94</v>
      </c>
      <c r="AD47" s="85"/>
      <c r="AE47" s="85">
        <f>8625.13+7072.19+2650</f>
        <v>18347.32</v>
      </c>
      <c r="AF47" s="86">
        <f>AD47+AE47</f>
        <v>18347.32</v>
      </c>
      <c r="AG47" s="85"/>
      <c r="AH47" s="85">
        <v>870</v>
      </c>
      <c r="AI47" s="86">
        <f>AG47+AH47</f>
        <v>870</v>
      </c>
      <c r="AJ47" s="63">
        <f t="shared" si="28"/>
        <v>0</v>
      </c>
      <c r="AK47" s="63">
        <f t="shared" si="31"/>
        <v>340719.41000000003</v>
      </c>
      <c r="AL47" s="63">
        <f t="shared" si="32"/>
        <v>340719.41000000003</v>
      </c>
    </row>
    <row r="48" spans="1:38" x14ac:dyDescent="0.25">
      <c r="A48" s="29"/>
      <c r="B48"/>
      <c r="C48" s="87"/>
      <c r="D48" s="87"/>
      <c r="E48" s="88"/>
      <c r="F48" s="87"/>
      <c r="G48" s="87"/>
      <c r="H48" s="88"/>
      <c r="I48" s="195"/>
      <c r="J48" s="195"/>
      <c r="K48" s="196"/>
      <c r="L48" s="87"/>
      <c r="M48" s="87"/>
      <c r="N48" s="88"/>
      <c r="O48" s="87"/>
      <c r="P48" s="87"/>
      <c r="Q48" s="88"/>
      <c r="R48" s="317"/>
      <c r="S48" s="317"/>
      <c r="T48" s="318"/>
      <c r="U48" s="405"/>
      <c r="V48" s="405"/>
      <c r="W48" s="406"/>
      <c r="X48" s="87"/>
      <c r="Y48" s="87"/>
      <c r="Z48" s="88"/>
      <c r="AA48" s="87"/>
      <c r="AB48" s="87"/>
      <c r="AC48" s="88"/>
      <c r="AD48" s="87"/>
      <c r="AE48" s="87"/>
      <c r="AF48" s="88"/>
      <c r="AG48" s="87"/>
      <c r="AH48" s="87"/>
      <c r="AI48" s="88"/>
      <c r="AJ48" s="87"/>
      <c r="AK48" s="87"/>
      <c r="AL48" s="88"/>
    </row>
    <row r="49" spans="1:38" ht="19.5" thickBot="1" x14ac:dyDescent="0.35">
      <c r="A49" s="31" t="s">
        <v>46</v>
      </c>
      <c r="B49"/>
      <c r="C49" s="89"/>
      <c r="D49" s="89"/>
      <c r="E49" s="90"/>
      <c r="F49" s="89"/>
      <c r="G49" s="89"/>
      <c r="H49" s="90"/>
      <c r="I49" s="36"/>
      <c r="J49" s="36"/>
      <c r="K49" s="197"/>
      <c r="L49" s="89"/>
      <c r="M49" s="89"/>
      <c r="N49" s="90"/>
      <c r="O49" s="89"/>
      <c r="P49" s="89"/>
      <c r="Q49" s="90"/>
      <c r="R49" s="319"/>
      <c r="S49" s="319"/>
      <c r="T49" s="320"/>
      <c r="U49" s="407"/>
      <c r="V49" s="407"/>
      <c r="W49" s="408"/>
      <c r="X49" s="89"/>
      <c r="Y49" s="89"/>
      <c r="Z49" s="90"/>
      <c r="AA49" s="89"/>
      <c r="AB49" s="89"/>
      <c r="AC49" s="90"/>
      <c r="AD49" s="89"/>
      <c r="AE49" s="89"/>
      <c r="AF49" s="90"/>
      <c r="AG49" s="89"/>
      <c r="AH49" s="89"/>
      <c r="AI49" s="90"/>
      <c r="AJ49" s="89"/>
      <c r="AK49" s="89"/>
      <c r="AL49" s="90"/>
    </row>
    <row r="50" spans="1:38" ht="19.5" thickBot="1" x14ac:dyDescent="0.3">
      <c r="A50" s="16" t="s">
        <v>47</v>
      </c>
      <c r="B50" s="484"/>
      <c r="C50" s="480"/>
      <c r="D50" s="72"/>
      <c r="E50" s="73">
        <f>C50+D50</f>
        <v>0</v>
      </c>
      <c r="F50" s="450">
        <v>-452740</v>
      </c>
      <c r="G50" s="72"/>
      <c r="H50" s="73"/>
      <c r="I50" s="174"/>
      <c r="J50" s="174"/>
      <c r="K50" s="175"/>
      <c r="L50" s="72"/>
      <c r="M50" s="72"/>
      <c r="N50" s="73"/>
      <c r="O50" s="72"/>
      <c r="P50" s="72"/>
      <c r="Q50" s="73"/>
      <c r="R50" s="297"/>
      <c r="S50" s="297"/>
      <c r="T50" s="298"/>
      <c r="U50" s="396"/>
      <c r="V50" s="396"/>
      <c r="W50" s="397"/>
      <c r="X50" s="72"/>
      <c r="Y50" s="72"/>
      <c r="Z50" s="73"/>
      <c r="AA50" s="444">
        <v>-562570</v>
      </c>
      <c r="AB50" s="72"/>
      <c r="AC50" s="73"/>
      <c r="AD50" s="72"/>
      <c r="AE50" s="72"/>
      <c r="AF50" s="73"/>
      <c r="AG50" s="72"/>
      <c r="AH50" s="72"/>
      <c r="AI50" s="73"/>
      <c r="AJ50" s="72">
        <f t="shared" ref="AJ50:AJ55" si="38">AG50+AD50+AA50+X50+U50+R50+O50+L50+I50+F50+C50</f>
        <v>-1015310</v>
      </c>
      <c r="AK50" s="72">
        <f t="shared" ref="AK50:AK55" si="39">AH50+AE50+AB50+Y50+V50+S50+P50+M50+J50+G50+D50</f>
        <v>0</v>
      </c>
      <c r="AL50" s="72">
        <f t="shared" ref="AL50:AL55" si="40">AI50+AF50+AC50+Z50+W50+T50+Q50+N50+K50+H50+E50</f>
        <v>0</v>
      </c>
    </row>
    <row r="51" spans="1:38" ht="18.75" x14ac:dyDescent="0.25">
      <c r="A51" s="9" t="s">
        <v>48</v>
      </c>
      <c r="B51" s="484"/>
      <c r="C51" s="481"/>
      <c r="D51" s="81"/>
      <c r="E51" s="73">
        <f>C51+D51</f>
        <v>0</v>
      </c>
      <c r="F51" s="81"/>
      <c r="G51" s="81"/>
      <c r="H51" s="82"/>
      <c r="I51" s="186"/>
      <c r="J51" s="186"/>
      <c r="K51" s="189"/>
      <c r="L51" s="81"/>
      <c r="M51" s="81"/>
      <c r="N51" s="82"/>
      <c r="O51" s="81"/>
      <c r="P51" s="81"/>
      <c r="Q51" s="82"/>
      <c r="R51" s="309"/>
      <c r="S51" s="309"/>
      <c r="T51" s="312"/>
      <c r="U51" s="396"/>
      <c r="V51" s="396"/>
      <c r="W51" s="397"/>
      <c r="X51" s="81"/>
      <c r="Y51" s="81"/>
      <c r="Z51" s="82"/>
      <c r="AA51" s="81"/>
      <c r="AB51" s="81"/>
      <c r="AC51" s="82"/>
      <c r="AD51" s="81"/>
      <c r="AE51" s="81"/>
      <c r="AF51" s="82"/>
      <c r="AG51" s="81"/>
      <c r="AH51" s="81"/>
      <c r="AI51" s="82"/>
      <c r="AJ51" s="81">
        <f t="shared" si="38"/>
        <v>0</v>
      </c>
      <c r="AK51" s="81">
        <f t="shared" si="39"/>
        <v>0</v>
      </c>
      <c r="AL51" s="81">
        <f t="shared" si="40"/>
        <v>0</v>
      </c>
    </row>
    <row r="52" spans="1:38" ht="18.75" x14ac:dyDescent="0.25">
      <c r="A52" s="12" t="s">
        <v>49</v>
      </c>
      <c r="B52" s="484"/>
      <c r="C52" s="84">
        <f>C21-C47+C50</f>
        <v>271398.39768437197</v>
      </c>
      <c r="D52" s="83">
        <f>D21+D50</f>
        <v>0</v>
      </c>
      <c r="E52" s="84">
        <f>C52+D52</f>
        <v>271398.39768437197</v>
      </c>
      <c r="F52" s="83">
        <f>F21+F50</f>
        <v>3881915.7351577114</v>
      </c>
      <c r="G52" s="83">
        <f>G21+G50</f>
        <v>0</v>
      </c>
      <c r="H52" s="84">
        <f>F52+G52</f>
        <v>3881915.7351577114</v>
      </c>
      <c r="I52" s="190">
        <f>I21+I50</f>
        <v>193241.43692510232</v>
      </c>
      <c r="J52" s="190">
        <f>J21+J50</f>
        <v>2469</v>
      </c>
      <c r="K52" s="191">
        <f>I52+J52</f>
        <v>195710.43692510232</v>
      </c>
      <c r="L52" s="254">
        <f>L21+L50</f>
        <v>735706.14672573679</v>
      </c>
      <c r="M52" s="254">
        <f>M21+M50</f>
        <v>0</v>
      </c>
      <c r="N52" s="255">
        <f>L52+M52</f>
        <v>735706.14672573679</v>
      </c>
      <c r="O52" s="268">
        <f>O21+O50</f>
        <v>506252.91105292615</v>
      </c>
      <c r="P52" s="268">
        <f>P21+P50</f>
        <v>0</v>
      </c>
      <c r="Q52" s="269">
        <f>O52+P52</f>
        <v>506252.91105292615</v>
      </c>
      <c r="R52" s="313">
        <f>R21+R50</f>
        <v>205051.60373731854</v>
      </c>
      <c r="S52" s="313">
        <f>S21+S50</f>
        <v>0</v>
      </c>
      <c r="T52" s="314">
        <f>R52+S52</f>
        <v>205051.60373731854</v>
      </c>
      <c r="U52" s="392">
        <f>U21+U50</f>
        <v>2076050.8353653662</v>
      </c>
      <c r="V52" s="392">
        <f>V21+V50</f>
        <v>0</v>
      </c>
      <c r="W52" s="403">
        <f>U52+V52</f>
        <v>2076050.8353653662</v>
      </c>
      <c r="X52" s="83">
        <f>X21+X50</f>
        <v>301464.09276893939</v>
      </c>
      <c r="Y52" s="83">
        <f>Y21+Y50</f>
        <v>0</v>
      </c>
      <c r="Z52" s="84">
        <f>X52+Y52</f>
        <v>301464.09276893939</v>
      </c>
      <c r="AA52" s="83">
        <f>AA21+AA50</f>
        <v>3451744.7402075618</v>
      </c>
      <c r="AB52" s="83">
        <f>AB21+AB50</f>
        <v>74465</v>
      </c>
      <c r="AC52" s="84">
        <f>AA52+AB52</f>
        <v>3526209.7402075618</v>
      </c>
      <c r="AD52" s="83">
        <f>AD21+AD50</f>
        <v>939720.77608639549</v>
      </c>
      <c r="AE52" s="83">
        <f>AE21+AE50</f>
        <v>15437</v>
      </c>
      <c r="AF52" s="84">
        <f>AD52+AE52</f>
        <v>955157.77608639549</v>
      </c>
      <c r="AG52" s="83">
        <f>AG21+AG50</f>
        <v>134049.97616489165</v>
      </c>
      <c r="AH52" s="83">
        <f>AH21+AH50</f>
        <v>0</v>
      </c>
      <c r="AI52" s="84">
        <f>AG52+AH52</f>
        <v>134049.97616489165</v>
      </c>
      <c r="AJ52" s="254">
        <f t="shared" si="38"/>
        <v>12696596.651876321</v>
      </c>
      <c r="AK52" s="83">
        <f t="shared" si="39"/>
        <v>92371</v>
      </c>
      <c r="AL52" s="83">
        <f t="shared" si="40"/>
        <v>12788967.651876321</v>
      </c>
    </row>
    <row r="53" spans="1:38" ht="18.75" x14ac:dyDescent="0.25">
      <c r="A53" s="9" t="s">
        <v>50</v>
      </c>
      <c r="B53" s="484"/>
      <c r="C53" s="481"/>
      <c r="D53" s="81"/>
      <c r="E53" s="82"/>
      <c r="F53" s="81"/>
      <c r="G53" s="81"/>
      <c r="H53" s="82"/>
      <c r="I53" s="186"/>
      <c r="J53" s="186"/>
      <c r="K53" s="189"/>
      <c r="L53" s="81"/>
      <c r="M53" s="81"/>
      <c r="N53" s="82"/>
      <c r="O53" s="158"/>
      <c r="P53" s="158"/>
      <c r="Q53" s="267"/>
      <c r="R53" s="309"/>
      <c r="S53" s="309"/>
      <c r="T53" s="312"/>
      <c r="U53" s="396"/>
      <c r="V53" s="396"/>
      <c r="W53" s="397"/>
      <c r="X53" s="81"/>
      <c r="Y53" s="81"/>
      <c r="Z53" s="82"/>
      <c r="AA53" s="81"/>
      <c r="AB53" s="81"/>
      <c r="AC53" s="82"/>
      <c r="AD53" s="81"/>
      <c r="AE53" s="81"/>
      <c r="AF53" s="82"/>
      <c r="AG53" s="81"/>
      <c r="AH53" s="81"/>
      <c r="AI53" s="82"/>
      <c r="AJ53" s="81">
        <f t="shared" si="38"/>
        <v>0</v>
      </c>
      <c r="AK53" s="81">
        <f t="shared" si="39"/>
        <v>0</v>
      </c>
      <c r="AL53" s="81">
        <f t="shared" si="40"/>
        <v>0</v>
      </c>
    </row>
    <row r="54" spans="1:38" ht="18.75" x14ac:dyDescent="0.25">
      <c r="A54" s="12" t="s">
        <v>51</v>
      </c>
      <c r="B54" s="484"/>
      <c r="C54" s="84">
        <f>C44-C47+C53</f>
        <v>116035.63266361777</v>
      </c>
      <c r="D54" s="83">
        <f>D44-D47+D53</f>
        <v>18762.330000000002</v>
      </c>
      <c r="E54" s="84">
        <f>C54+D54</f>
        <v>134797.96266361777</v>
      </c>
      <c r="F54" s="83">
        <f>F44-F47+F53</f>
        <v>2112834.7810188569</v>
      </c>
      <c r="G54" s="83">
        <f>G44-G47+G53</f>
        <v>612253.16999999993</v>
      </c>
      <c r="H54" s="84">
        <f>F54+G54</f>
        <v>2725087.9510188568</v>
      </c>
      <c r="I54" s="190">
        <f>I44-I47+I53</f>
        <v>77100.518558348951</v>
      </c>
      <c r="J54" s="190">
        <f>J44-J47+J53</f>
        <v>29442.04</v>
      </c>
      <c r="K54" s="191">
        <f>I54+J54</f>
        <v>106542.55855834894</v>
      </c>
      <c r="L54" s="254">
        <f>L44-L47+L53</f>
        <v>451444.80136704934</v>
      </c>
      <c r="M54" s="254">
        <f>M44-M47+M53</f>
        <v>70979.7</v>
      </c>
      <c r="N54" s="255">
        <f>L54+M54</f>
        <v>522424.50136704935</v>
      </c>
      <c r="O54" s="268">
        <f>O44-O47+O53</f>
        <v>182021.174706563</v>
      </c>
      <c r="P54" s="268">
        <f>P44-P47+P53</f>
        <v>23755.96</v>
      </c>
      <c r="Q54" s="269">
        <f>O54+P54</f>
        <v>205777.134706563</v>
      </c>
      <c r="R54" s="313">
        <f>R44-R47+R53</f>
        <v>78136.196065913638</v>
      </c>
      <c r="S54" s="313">
        <f>S44-S47+S53</f>
        <v>38067</v>
      </c>
      <c r="T54" s="314">
        <f>R54+S54</f>
        <v>116203.19606591364</v>
      </c>
      <c r="U54" s="392">
        <f>U44-U47+U53</f>
        <v>1113893.6320136392</v>
      </c>
      <c r="V54" s="392">
        <f>V44-V47+V53</f>
        <v>59906.62</v>
      </c>
      <c r="W54" s="403">
        <f>U54+V54</f>
        <v>1173800.2520136393</v>
      </c>
      <c r="X54" s="83">
        <f>X44-X47+X53</f>
        <v>127797.61817058464</v>
      </c>
      <c r="Y54" s="83">
        <f>Y44-Y47+Y53</f>
        <v>12246.17</v>
      </c>
      <c r="Z54" s="84">
        <f>X54+Y54</f>
        <v>140043.78817058465</v>
      </c>
      <c r="AA54" s="83">
        <f>AA44-AA47+AA53</f>
        <v>2103029.7061163979</v>
      </c>
      <c r="AB54" s="83">
        <f>AB44-AB47+AB53</f>
        <v>436631.06</v>
      </c>
      <c r="AC54" s="84">
        <f>AA54+AB54</f>
        <v>2539660.7661163979</v>
      </c>
      <c r="AD54" s="83">
        <f>AD44-AD47+AD53</f>
        <v>509909.6533082517</v>
      </c>
      <c r="AE54" s="83">
        <f>AE44-AE47+AE53</f>
        <v>28961.07</v>
      </c>
      <c r="AF54" s="84">
        <f>AD54+AE54</f>
        <v>538870.72330825171</v>
      </c>
      <c r="AG54" s="83">
        <f>AG44-AG47+AG53</f>
        <v>51213.519034711797</v>
      </c>
      <c r="AH54" s="83">
        <f>AH44-AH47+AH53</f>
        <v>35025</v>
      </c>
      <c r="AI54" s="84">
        <f>AG54+AH54</f>
        <v>86238.51903471179</v>
      </c>
      <c r="AJ54" s="254">
        <f t="shared" si="38"/>
        <v>6923417.2330239341</v>
      </c>
      <c r="AK54" s="83">
        <f t="shared" si="39"/>
        <v>1366030.12</v>
      </c>
      <c r="AL54" s="83">
        <f t="shared" si="40"/>
        <v>8289447.3530239351</v>
      </c>
    </row>
    <row r="55" spans="1:38" ht="19.5" thickBot="1" x14ac:dyDescent="0.3">
      <c r="A55" s="26" t="s">
        <v>52</v>
      </c>
      <c r="B55" s="484"/>
      <c r="C55" s="100">
        <f>C54+C52</f>
        <v>387434.03034798976</v>
      </c>
      <c r="D55" s="69">
        <f>D54+D52</f>
        <v>18762.330000000002</v>
      </c>
      <c r="E55" s="84">
        <f>C55+D55</f>
        <v>406196.36034798977</v>
      </c>
      <c r="F55" s="69">
        <f>F54+F52</f>
        <v>5994750.5161765683</v>
      </c>
      <c r="G55" s="69">
        <f>G54+G52</f>
        <v>612253.16999999993</v>
      </c>
      <c r="H55" s="84">
        <f>F55+G55</f>
        <v>6607003.6861765683</v>
      </c>
      <c r="I55" s="171">
        <f>I54+I52</f>
        <v>270341.95548345125</v>
      </c>
      <c r="J55" s="171">
        <f>J54+J52</f>
        <v>31911.040000000001</v>
      </c>
      <c r="K55" s="191">
        <f>I55+J55</f>
        <v>302252.99548345123</v>
      </c>
      <c r="L55" s="69">
        <f>L54+L52</f>
        <v>1187150.9480927861</v>
      </c>
      <c r="M55" s="69">
        <f>M54+M52</f>
        <v>70979.7</v>
      </c>
      <c r="N55" s="84">
        <f>L55+M55</f>
        <v>1258130.6480927861</v>
      </c>
      <c r="O55" s="260">
        <f>O54+O52</f>
        <v>688274.0857594891</v>
      </c>
      <c r="P55" s="260">
        <f>P54+P52</f>
        <v>23755.96</v>
      </c>
      <c r="Q55" s="269">
        <f>O55+P55</f>
        <v>712030.04575948906</v>
      </c>
      <c r="R55" s="293">
        <f>R54+R52</f>
        <v>283187.79980323219</v>
      </c>
      <c r="S55" s="293">
        <f>S54+S52</f>
        <v>38067</v>
      </c>
      <c r="T55" s="314">
        <f>R55+S55</f>
        <v>321254.79980323219</v>
      </c>
      <c r="U55" s="392">
        <f>U54+U52</f>
        <v>3189944.4673790056</v>
      </c>
      <c r="V55" s="392">
        <f>V54+V52</f>
        <v>59906.62</v>
      </c>
      <c r="W55" s="403">
        <f>U55+V55</f>
        <v>3249851.0873790057</v>
      </c>
      <c r="X55" s="69">
        <f>X54+X52</f>
        <v>429261.710939524</v>
      </c>
      <c r="Y55" s="69">
        <f>Y54+Y52</f>
        <v>12246.17</v>
      </c>
      <c r="Z55" s="84">
        <f>X55+Y55</f>
        <v>441507.88093952398</v>
      </c>
      <c r="AA55" s="69">
        <f>AA54+AA52</f>
        <v>5554774.4463239592</v>
      </c>
      <c r="AB55" s="69">
        <f>AB54+AB52</f>
        <v>511096.06</v>
      </c>
      <c r="AC55" s="84">
        <f>AA55+AB55</f>
        <v>6065870.5063239587</v>
      </c>
      <c r="AD55" s="69">
        <f>AD54+AD52</f>
        <v>1449630.4293946472</v>
      </c>
      <c r="AE55" s="69">
        <f>AE54+AE52</f>
        <v>44398.07</v>
      </c>
      <c r="AF55" s="84">
        <f>AD55+AE55</f>
        <v>1494028.4993946473</v>
      </c>
      <c r="AG55" s="69">
        <f>AG54+AG52</f>
        <v>185263.49519960344</v>
      </c>
      <c r="AH55" s="69">
        <f>AH54+AH52</f>
        <v>35025</v>
      </c>
      <c r="AI55" s="84">
        <f>AG55+AH55</f>
        <v>220288.49519960344</v>
      </c>
      <c r="AJ55" s="505">
        <f t="shared" si="38"/>
        <v>19620013.884900257</v>
      </c>
      <c r="AK55" s="69">
        <f t="shared" si="39"/>
        <v>1458401.12</v>
      </c>
      <c r="AL55" s="69">
        <f t="shared" si="40"/>
        <v>21078415.004900258</v>
      </c>
    </row>
    <row r="56" spans="1:38" ht="18.75" thickBot="1" x14ac:dyDescent="0.4">
      <c r="A56" s="32" t="s">
        <v>53</v>
      </c>
      <c r="B56" s="484"/>
      <c r="C56" s="91"/>
      <c r="D56" s="92"/>
      <c r="E56" s="93"/>
      <c r="F56" s="91"/>
      <c r="G56" s="92"/>
      <c r="H56" s="93"/>
      <c r="I56" s="30"/>
      <c r="J56" s="198"/>
      <c r="K56" s="199"/>
      <c r="L56" s="91"/>
      <c r="M56" s="92"/>
      <c r="N56" s="93"/>
      <c r="O56" s="91"/>
      <c r="P56" s="92"/>
      <c r="Q56" s="93"/>
      <c r="R56" s="321"/>
      <c r="S56" s="322"/>
      <c r="T56" s="323"/>
      <c r="U56" s="409"/>
      <c r="V56" s="410"/>
      <c r="W56" s="411"/>
      <c r="X56" s="91"/>
      <c r="Y56" s="92"/>
      <c r="Z56" s="93"/>
      <c r="AA56" s="91"/>
      <c r="AB56" s="92"/>
      <c r="AC56" s="93"/>
      <c r="AD56" s="91"/>
      <c r="AE56" s="92"/>
      <c r="AF56" s="93"/>
      <c r="AG56" s="91"/>
      <c r="AH56" s="92"/>
      <c r="AI56" s="93"/>
      <c r="AJ56" s="91"/>
      <c r="AK56" s="92"/>
      <c r="AL56" s="93"/>
    </row>
    <row r="57" spans="1:38" ht="19.5" thickBot="1" x14ac:dyDescent="0.3">
      <c r="A57" s="33" t="s">
        <v>54</v>
      </c>
      <c r="B57" s="484"/>
      <c r="C57" s="482"/>
      <c r="D57" s="95"/>
      <c r="E57" s="96"/>
      <c r="F57" s="94"/>
      <c r="G57" s="460">
        <f>550929.28</f>
        <v>550929.28</v>
      </c>
      <c r="H57" s="96">
        <f>F57+G57</f>
        <v>550929.28</v>
      </c>
      <c r="I57" s="200"/>
      <c r="J57" s="201"/>
      <c r="K57" s="202"/>
      <c r="L57" s="94"/>
      <c r="M57" s="447">
        <v>16373.23</v>
      </c>
      <c r="N57" s="96">
        <f>L57+M57</f>
        <v>16373.23</v>
      </c>
      <c r="O57" s="94"/>
      <c r="P57" s="461">
        <v>21577.94</v>
      </c>
      <c r="Q57" s="96"/>
      <c r="R57" s="324"/>
      <c r="S57" s="325"/>
      <c r="T57" s="326"/>
      <c r="U57" s="412"/>
      <c r="V57" s="412"/>
      <c r="W57" s="413"/>
      <c r="X57" s="94"/>
      <c r="Y57" s="95"/>
      <c r="Z57" s="96"/>
      <c r="AA57" s="506"/>
      <c r="AB57" s="507">
        <v>280419</v>
      </c>
      <c r="AC57" s="508">
        <f>AA57+AB57</f>
        <v>280419</v>
      </c>
      <c r="AD57" s="94"/>
      <c r="AE57" s="95"/>
      <c r="AF57" s="96"/>
      <c r="AG57" s="94"/>
      <c r="AH57" s="95"/>
      <c r="AI57" s="96"/>
      <c r="AJ57" s="94">
        <f t="shared" ref="AJ57" si="41">AG57+AD57+AA57+X57+U57+R57+O57+L57+I57+F57+C57</f>
        <v>0</v>
      </c>
      <c r="AK57" s="95"/>
      <c r="AL57" s="96"/>
    </row>
    <row r="58" spans="1:38" ht="16.5" thickBot="1" x14ac:dyDescent="0.3">
      <c r="A58" s="34"/>
      <c r="B58" s="484"/>
      <c r="C58" s="97"/>
      <c r="D58" s="97"/>
      <c r="E58" s="98"/>
      <c r="F58" s="97"/>
      <c r="G58" s="97"/>
      <c r="H58" s="98"/>
      <c r="I58" s="97"/>
      <c r="J58" s="97"/>
      <c r="K58" s="203"/>
      <c r="L58" s="97"/>
      <c r="M58" s="97"/>
      <c r="N58" s="98"/>
      <c r="O58" s="97"/>
      <c r="P58" s="97"/>
      <c r="Q58" s="98"/>
      <c r="R58" s="97"/>
      <c r="S58" s="97"/>
      <c r="T58" s="327"/>
      <c r="U58" s="414"/>
      <c r="V58" s="414"/>
      <c r="W58" s="415"/>
      <c r="X58" s="97"/>
      <c r="Y58" s="97"/>
      <c r="Z58" s="98"/>
      <c r="AA58" s="97"/>
      <c r="AB58" s="97"/>
      <c r="AC58" s="98"/>
      <c r="AD58" s="97"/>
      <c r="AE58" s="97"/>
      <c r="AF58" s="98"/>
      <c r="AG58" s="97"/>
      <c r="AH58" s="97"/>
      <c r="AI58" s="98"/>
      <c r="AJ58" s="97"/>
      <c r="AK58" s="97"/>
      <c r="AL58" s="98"/>
    </row>
    <row r="59" spans="1:38" ht="19.5" thickBot="1" x14ac:dyDescent="0.3">
      <c r="A59" s="26" t="s">
        <v>55</v>
      </c>
      <c r="B59" s="484"/>
      <c r="C59" s="483">
        <f>C55+C57</f>
        <v>387434.03034798976</v>
      </c>
      <c r="D59" s="99">
        <f>D55</f>
        <v>18762.330000000002</v>
      </c>
      <c r="E59" s="100">
        <f>C59+D59</f>
        <v>406196.36034798977</v>
      </c>
      <c r="F59" s="99">
        <f>F55+F57</f>
        <v>5994750.5161765683</v>
      </c>
      <c r="G59" s="99">
        <f>G55</f>
        <v>612253.16999999993</v>
      </c>
      <c r="H59" s="100">
        <f>F59+G59</f>
        <v>6607003.6861765683</v>
      </c>
      <c r="I59" s="204">
        <f>I55+I57</f>
        <v>270341.95548345125</v>
      </c>
      <c r="J59" s="204">
        <f>J55</f>
        <v>31911.040000000001</v>
      </c>
      <c r="K59" s="205">
        <f>I59+J59</f>
        <v>302252.99548345123</v>
      </c>
      <c r="L59" s="456">
        <f>L55+L57</f>
        <v>1187150.9480927861</v>
      </c>
      <c r="M59" s="456">
        <f>M55</f>
        <v>70979.7</v>
      </c>
      <c r="N59" s="456">
        <f>N55</f>
        <v>1258130.6480927861</v>
      </c>
      <c r="O59" s="99">
        <f>O55+O57</f>
        <v>688274.0857594891</v>
      </c>
      <c r="P59" s="99">
        <f>P55</f>
        <v>23755.96</v>
      </c>
      <c r="Q59" s="100">
        <f>O59+P59</f>
        <v>712030.04575948906</v>
      </c>
      <c r="R59" s="328">
        <f>R55+R57</f>
        <v>283187.79980323219</v>
      </c>
      <c r="S59" s="328">
        <f>S55</f>
        <v>38067</v>
      </c>
      <c r="T59" s="329">
        <f>R59+S59</f>
        <v>321254.79980323219</v>
      </c>
      <c r="U59" s="416">
        <f>U55+U57</f>
        <v>3189944.4673790056</v>
      </c>
      <c r="V59" s="416">
        <f>V55</f>
        <v>59906.62</v>
      </c>
      <c r="W59" s="403">
        <f>U59+V59</f>
        <v>3249851.0873790057</v>
      </c>
      <c r="X59" s="99">
        <f>X55+X57</f>
        <v>429261.710939524</v>
      </c>
      <c r="Y59" s="99">
        <f>Y55</f>
        <v>12246.17</v>
      </c>
      <c r="Z59" s="100">
        <f>X59+Y59</f>
        <v>441507.88093952398</v>
      </c>
      <c r="AA59" s="507">
        <f>AA55+AA57</f>
        <v>5554774.4463239592</v>
      </c>
      <c r="AB59" s="507">
        <f>AB55</f>
        <v>511096.06</v>
      </c>
      <c r="AC59" s="508">
        <f>AA59+AB59</f>
        <v>6065870.5063239587</v>
      </c>
      <c r="AD59" s="99"/>
      <c r="AE59" s="99"/>
      <c r="AF59" s="100"/>
      <c r="AG59" s="99"/>
      <c r="AH59" s="99"/>
      <c r="AI59" s="100"/>
      <c r="AJ59" s="99"/>
      <c r="AK59" s="99"/>
      <c r="AL59" s="100"/>
    </row>
    <row r="60" spans="1:38" x14ac:dyDescent="0.25">
      <c r="A60" s="35"/>
      <c r="B60"/>
      <c r="C60" s="101"/>
      <c r="D60" s="101"/>
      <c r="E60" s="102"/>
      <c r="F60" s="101"/>
      <c r="G60" s="101"/>
      <c r="H60" s="102"/>
      <c r="I60" s="206"/>
      <c r="J60" s="206"/>
      <c r="K60" s="207"/>
      <c r="L60" s="101"/>
      <c r="M60" s="101"/>
      <c r="N60" s="102"/>
      <c r="O60" s="101"/>
      <c r="P60" s="101"/>
      <c r="Q60" s="102"/>
      <c r="R60" s="330"/>
      <c r="S60" s="330"/>
      <c r="T60" s="331"/>
      <c r="U60" s="417"/>
      <c r="V60" s="417"/>
      <c r="W60" s="418"/>
      <c r="X60" s="101"/>
      <c r="Y60" s="101"/>
      <c r="Z60" s="102"/>
      <c r="AA60" s="101"/>
      <c r="AB60" s="101"/>
      <c r="AC60" s="102"/>
      <c r="AD60" s="101"/>
      <c r="AE60" s="101"/>
      <c r="AF60" s="102"/>
      <c r="AG60" s="101"/>
      <c r="AH60" s="101"/>
      <c r="AI60" s="102"/>
      <c r="AJ60" s="101"/>
      <c r="AK60" s="101"/>
      <c r="AL60" s="102"/>
    </row>
    <row r="61" spans="1:38" ht="19.5" thickBot="1" x14ac:dyDescent="0.35">
      <c r="A61" s="31" t="s">
        <v>56</v>
      </c>
      <c r="B61"/>
      <c r="C61" s="89"/>
      <c r="D61" s="89"/>
      <c r="E61" s="90"/>
      <c r="F61" s="89"/>
      <c r="G61" s="89"/>
      <c r="H61" s="90"/>
      <c r="I61" s="36"/>
      <c r="J61" s="36"/>
      <c r="K61" s="197"/>
      <c r="L61" s="89"/>
      <c r="M61" s="89"/>
      <c r="N61" s="90"/>
      <c r="O61" s="89"/>
      <c r="P61" s="89"/>
      <c r="Q61" s="90"/>
      <c r="R61" s="319"/>
      <c r="S61" s="319"/>
      <c r="T61" s="320"/>
      <c r="U61" s="407"/>
      <c r="V61" s="407"/>
      <c r="W61" s="408"/>
      <c r="X61" s="89"/>
      <c r="Y61" s="89"/>
      <c r="Z61" s="90"/>
      <c r="AA61" s="89"/>
      <c r="AB61" s="89"/>
      <c r="AC61" s="90"/>
      <c r="AD61" s="89"/>
      <c r="AE61" s="89"/>
      <c r="AF61" s="90"/>
      <c r="AG61" s="89"/>
      <c r="AH61" s="89"/>
      <c r="AI61" s="90"/>
      <c r="AJ61" s="89"/>
      <c r="AK61" s="89"/>
      <c r="AL61" s="90"/>
    </row>
    <row r="62" spans="1:38" x14ac:dyDescent="0.25">
      <c r="A62" s="16" t="s">
        <v>57</v>
      </c>
      <c r="B62" s="17" t="s">
        <v>3</v>
      </c>
      <c r="C62" s="103"/>
      <c r="D62" s="104"/>
      <c r="E62" s="495">
        <v>0.80700000000000005</v>
      </c>
      <c r="F62" s="103"/>
      <c r="G62" s="104"/>
      <c r="H62" s="105">
        <v>0.56399999999999995</v>
      </c>
      <c r="I62" s="208"/>
      <c r="J62" s="209"/>
      <c r="K62" s="210">
        <v>0.84399999999999997</v>
      </c>
      <c r="L62" s="103"/>
      <c r="M62" s="104"/>
      <c r="N62" s="105">
        <v>0.82399999999999995</v>
      </c>
      <c r="O62" s="103"/>
      <c r="P62" s="104"/>
      <c r="Q62" s="105">
        <v>0.81399999999999995</v>
      </c>
      <c r="R62" s="332"/>
      <c r="S62" s="333"/>
      <c r="T62" s="334">
        <v>0.76100000000000001</v>
      </c>
      <c r="U62" s="412"/>
      <c r="V62" s="412"/>
      <c r="W62" s="419">
        <v>0.77500000000000002</v>
      </c>
      <c r="X62" s="103"/>
      <c r="Y62" s="104"/>
      <c r="Z62" s="105">
        <v>0.81699999999999995</v>
      </c>
      <c r="AA62" s="103"/>
      <c r="AB62" s="104"/>
      <c r="AC62" s="105">
        <v>0.57499999999999996</v>
      </c>
      <c r="AD62" s="103"/>
      <c r="AE62" s="104"/>
      <c r="AF62" s="105">
        <v>0.84199999999999997</v>
      </c>
      <c r="AG62" s="103"/>
      <c r="AH62" s="104"/>
      <c r="AI62" s="105">
        <v>0.81699999999999995</v>
      </c>
      <c r="AJ62" s="103"/>
      <c r="AK62" s="104"/>
      <c r="AL62" s="105"/>
    </row>
    <row r="63" spans="1:38" ht="18.75" x14ac:dyDescent="0.25">
      <c r="A63" s="9" t="s">
        <v>58</v>
      </c>
      <c r="B63" s="37" t="s">
        <v>3</v>
      </c>
      <c r="C63" s="159">
        <v>1575.42</v>
      </c>
      <c r="D63" s="107"/>
      <c r="E63" s="108">
        <v>1575.42</v>
      </c>
      <c r="F63" s="106">
        <v>15296.23</v>
      </c>
      <c r="G63" s="107"/>
      <c r="H63" s="108">
        <v>15296.23</v>
      </c>
      <c r="I63" s="211">
        <v>1102.5999999999999</v>
      </c>
      <c r="J63" s="212"/>
      <c r="K63" s="108">
        <v>1102.5999999999999</v>
      </c>
      <c r="L63" s="106">
        <v>4401.18</v>
      </c>
      <c r="M63" s="107"/>
      <c r="N63" s="108">
        <v>4401.18</v>
      </c>
      <c r="O63" s="106">
        <v>2921.83</v>
      </c>
      <c r="P63" s="107"/>
      <c r="Q63" s="108">
        <v>2921.83</v>
      </c>
      <c r="R63" s="335">
        <v>1230.1600000000001</v>
      </c>
      <c r="S63" s="336"/>
      <c r="T63" s="108">
        <v>1230.1600000000001</v>
      </c>
      <c r="U63" s="413">
        <v>11044.56</v>
      </c>
      <c r="V63" s="420"/>
      <c r="W63" s="391">
        <v>11044.56</v>
      </c>
      <c r="X63" s="106">
        <v>1660.55</v>
      </c>
      <c r="Y63" s="107"/>
      <c r="Z63" s="108">
        <v>1660.55</v>
      </c>
      <c r="AA63" s="106">
        <v>17717.650000000001</v>
      </c>
      <c r="AB63" s="107"/>
      <c r="AC63" s="108">
        <v>17717.650000000001</v>
      </c>
      <c r="AD63" s="106">
        <v>5543.92</v>
      </c>
      <c r="AE63" s="107"/>
      <c r="AF63" s="108">
        <v>5543.92</v>
      </c>
      <c r="AG63" s="106">
        <v>755.07</v>
      </c>
      <c r="AH63" s="107"/>
      <c r="AI63" s="108">
        <v>755.07</v>
      </c>
      <c r="AJ63" s="106"/>
      <c r="AK63" s="107"/>
      <c r="AL63" s="108"/>
    </row>
    <row r="64" spans="1:38" x14ac:dyDescent="0.25">
      <c r="A64" s="9" t="s">
        <v>59</v>
      </c>
      <c r="B64" s="37" t="s">
        <v>3</v>
      </c>
      <c r="C64" s="109">
        <f>(369823*1.1)/E63</f>
        <v>258.22022063957547</v>
      </c>
      <c r="D64" s="110">
        <f>33900/E63</f>
        <v>21.518071371443803</v>
      </c>
      <c r="E64" s="496">
        <f>C64+D64</f>
        <v>279.73829201101927</v>
      </c>
      <c r="F64" s="109">
        <f>(5927415*1.1)/H63</f>
        <v>426.25905206707802</v>
      </c>
      <c r="G64" s="110">
        <f>567441.4/H63</f>
        <v>37.096814051566959</v>
      </c>
      <c r="H64" s="496">
        <f>F64+G64</f>
        <v>463.355866118645</v>
      </c>
      <c r="I64" s="213">
        <f>(262576*1.1)/K63</f>
        <v>261.95682931253407</v>
      </c>
      <c r="J64" s="214">
        <f>30507/K63</f>
        <v>27.668238708507168</v>
      </c>
      <c r="K64" s="496">
        <f>I64+J64</f>
        <v>289.62506802104122</v>
      </c>
      <c r="L64" s="109">
        <f>(1106668*1.1)/N63</f>
        <v>276.59282283387637</v>
      </c>
      <c r="M64" s="110">
        <f>91585.7/N63</f>
        <v>20.809351128560976</v>
      </c>
      <c r="N64" s="496">
        <f>L64+M64</f>
        <v>297.40217396243736</v>
      </c>
      <c r="O64" s="109">
        <f>(628811*1.1)/Q63</f>
        <v>236.73249299240547</v>
      </c>
      <c r="P64" s="110">
        <f>27425.27/Q63</f>
        <v>9.3863332226720928</v>
      </c>
      <c r="Q64" s="496">
        <f>O64+P64</f>
        <v>246.11882621507755</v>
      </c>
      <c r="R64" s="337">
        <f>(275673*1.1)/T63</f>
        <v>246.50476360798598</v>
      </c>
      <c r="S64" s="338">
        <f>34451.18/T63</f>
        <v>28.005446445990763</v>
      </c>
      <c r="T64" s="496">
        <f>R64+S64</f>
        <v>274.51021005397672</v>
      </c>
      <c r="U64" s="421">
        <f>(2952616*1.1)/W63</f>
        <v>294.07034775491286</v>
      </c>
      <c r="V64" s="422">
        <f>64585.88/W63</f>
        <v>5.8477549128258621</v>
      </c>
      <c r="W64" s="496">
        <f>U64+V64</f>
        <v>299.91810266773871</v>
      </c>
      <c r="X64" s="109">
        <f>(412702*1.1)/Z63</f>
        <v>273.38664900183676</v>
      </c>
      <c r="Y64" s="110">
        <f>12054/Z63</f>
        <v>7.2590406792930056</v>
      </c>
      <c r="Z64" s="496">
        <f>X64+Y64</f>
        <v>280.64568968112974</v>
      </c>
      <c r="AA64" s="109">
        <f>(5782977*1.1)/AC63</f>
        <v>359.03602904448388</v>
      </c>
      <c r="AB64" s="110">
        <f>607185.65/AC63</f>
        <v>34.270100718774778</v>
      </c>
      <c r="AC64" s="496">
        <f>AA64+AB64</f>
        <v>393.30612976325864</v>
      </c>
      <c r="AD64" s="109">
        <f>(1344546*1.1)/AF63</f>
        <v>266.77884962264972</v>
      </c>
      <c r="AE64" s="110">
        <f>36826.04/AF63</f>
        <v>6.6425994603096727</v>
      </c>
      <c r="AF64" s="496">
        <f>AD64+AE64</f>
        <v>273.42144908295938</v>
      </c>
      <c r="AG64" s="109">
        <f>(174943*1.1)/AI63</f>
        <v>254.86021163600725</v>
      </c>
      <c r="AH64" s="110">
        <f>46116.36/AI63</f>
        <v>61.075608883944533</v>
      </c>
      <c r="AI64" s="496">
        <f>AG64+AH64</f>
        <v>315.93582051995179</v>
      </c>
      <c r="AJ64" s="109"/>
      <c r="AK64" s="110"/>
      <c r="AL64" s="108"/>
    </row>
    <row r="65" spans="1:38" x14ac:dyDescent="0.25">
      <c r="A65" s="9" t="s">
        <v>60</v>
      </c>
      <c r="B65" s="37" t="s">
        <v>10</v>
      </c>
      <c r="C65" s="111"/>
      <c r="D65" s="112"/>
      <c r="E65" s="113">
        <v>326.95999999999998</v>
      </c>
      <c r="F65" s="111"/>
      <c r="G65" s="112"/>
      <c r="H65" s="113">
        <v>425.11</v>
      </c>
      <c r="I65" s="215"/>
      <c r="J65" s="216"/>
      <c r="K65" s="217">
        <v>328.55</v>
      </c>
      <c r="L65" s="111"/>
      <c r="M65" s="112"/>
      <c r="N65" s="113">
        <v>315.29000000000002</v>
      </c>
      <c r="O65" s="111"/>
      <c r="P65" s="112"/>
      <c r="Q65" s="113">
        <v>336.93</v>
      </c>
      <c r="R65" s="339"/>
      <c r="S65" s="340"/>
      <c r="T65" s="341">
        <v>334.85</v>
      </c>
      <c r="U65" s="412"/>
      <c r="V65" s="412"/>
      <c r="W65" s="423">
        <v>335.02</v>
      </c>
      <c r="X65" s="111"/>
      <c r="Y65" s="112"/>
      <c r="Z65" s="113">
        <v>318.29000000000002</v>
      </c>
      <c r="AA65" s="111"/>
      <c r="AB65" s="112"/>
      <c r="AC65" s="113">
        <v>418.15</v>
      </c>
      <c r="AD65" s="111"/>
      <c r="AE65" s="112"/>
      <c r="AF65" s="113">
        <v>307.17</v>
      </c>
      <c r="AG65" s="111"/>
      <c r="AH65" s="112"/>
      <c r="AI65" s="113">
        <v>333.56</v>
      </c>
      <c r="AJ65" s="111"/>
      <c r="AK65" s="112"/>
      <c r="AL65" s="113"/>
    </row>
    <row r="66" spans="1:38" ht="16.5" thickBot="1" x14ac:dyDescent="0.3">
      <c r="A66" s="28" t="s">
        <v>61</v>
      </c>
      <c r="B66" s="38" t="s">
        <v>10</v>
      </c>
      <c r="C66" s="114"/>
      <c r="D66" s="115"/>
      <c r="E66" s="116"/>
      <c r="F66" s="114"/>
      <c r="G66" s="115"/>
      <c r="H66" s="116"/>
      <c r="I66" s="218"/>
      <c r="J66" s="219"/>
      <c r="K66" s="220"/>
      <c r="L66" s="114"/>
      <c r="M66" s="115"/>
      <c r="N66" s="116"/>
      <c r="O66" s="114"/>
      <c r="P66" s="115"/>
      <c r="Q66" s="116"/>
      <c r="R66" s="342"/>
      <c r="S66" s="343"/>
      <c r="T66" s="344"/>
      <c r="U66" s="412"/>
      <c r="V66" s="412"/>
      <c r="W66" s="423"/>
      <c r="X66" s="114"/>
      <c r="Y66" s="115"/>
      <c r="Z66" s="116"/>
      <c r="AA66" s="114"/>
      <c r="AB66" s="115"/>
      <c r="AC66" s="116"/>
      <c r="AD66" s="114"/>
      <c r="AE66" s="115"/>
      <c r="AF66" s="116"/>
      <c r="AG66" s="114"/>
      <c r="AH66" s="115"/>
      <c r="AI66" s="116"/>
      <c r="AJ66" s="114"/>
      <c r="AK66" s="115"/>
      <c r="AL66" s="116"/>
    </row>
    <row r="67" spans="1:38" x14ac:dyDescent="0.25">
      <c r="A67" s="29"/>
      <c r="B67" s="30"/>
      <c r="C67" s="87"/>
      <c r="D67" s="87"/>
      <c r="E67" s="88"/>
      <c r="F67" s="87"/>
      <c r="G67" s="87"/>
      <c r="H67" s="88"/>
      <c r="I67" s="195"/>
      <c r="J67" s="195"/>
      <c r="K67" s="196"/>
      <c r="L67" s="87"/>
      <c r="M67" s="87"/>
      <c r="N67" s="88"/>
      <c r="O67" s="87"/>
      <c r="P67" s="87"/>
      <c r="Q67" s="88"/>
      <c r="R67" s="317"/>
      <c r="S67" s="317"/>
      <c r="T67" s="318"/>
      <c r="U67" s="405"/>
      <c r="V67" s="405"/>
      <c r="W67" s="406"/>
      <c r="X67" s="87"/>
      <c r="Y67" s="87"/>
      <c r="Z67" s="88"/>
      <c r="AA67" s="87"/>
      <c r="AB67" s="87"/>
      <c r="AC67" s="88"/>
      <c r="AD67" s="87"/>
      <c r="AE67" s="87"/>
      <c r="AF67" s="88"/>
      <c r="AG67" s="87"/>
      <c r="AH67" s="87"/>
      <c r="AI67" s="88"/>
      <c r="AJ67" s="87"/>
      <c r="AK67" s="87"/>
      <c r="AL67" s="88"/>
    </row>
    <row r="68" spans="1:38" ht="19.5" thickBot="1" x14ac:dyDescent="0.35">
      <c r="A68" s="31" t="s">
        <v>62</v>
      </c>
      <c r="B68" s="36"/>
      <c r="C68" s="89"/>
      <c r="D68" s="89"/>
      <c r="E68" s="88"/>
      <c r="F68" s="89"/>
      <c r="G68" s="89"/>
      <c r="H68" s="88"/>
      <c r="I68" s="36"/>
      <c r="J68" s="36"/>
      <c r="K68" s="196"/>
      <c r="L68" s="89"/>
      <c r="M68" s="89"/>
      <c r="N68" s="88"/>
      <c r="O68" s="89"/>
      <c r="P68" s="89"/>
      <c r="Q68" s="88"/>
      <c r="R68" s="319"/>
      <c r="S68" s="319"/>
      <c r="T68" s="318"/>
      <c r="U68" s="407"/>
      <c r="V68" s="407"/>
      <c r="W68" s="406"/>
      <c r="X68" s="89"/>
      <c r="Y68" s="89"/>
      <c r="Z68" s="88"/>
      <c r="AA68" s="89"/>
      <c r="AB68" s="89"/>
      <c r="AC68" s="88"/>
      <c r="AD68" s="89"/>
      <c r="AE68" s="89"/>
      <c r="AF68" s="88"/>
      <c r="AG68" s="89"/>
      <c r="AH68" s="89"/>
      <c r="AI68" s="88"/>
      <c r="AJ68" s="89"/>
      <c r="AK68" s="89"/>
      <c r="AL68" s="88"/>
    </row>
    <row r="69" spans="1:38" ht="18.75" x14ac:dyDescent="0.25">
      <c r="A69" s="16" t="s">
        <v>63</v>
      </c>
      <c r="B69" s="39" t="s">
        <v>10</v>
      </c>
      <c r="C69" s="117">
        <v>-0.06</v>
      </c>
      <c r="D69" s="494">
        <f>IF(D$4=0,D82,D89)</f>
        <v>0</v>
      </c>
      <c r="E69" s="119"/>
      <c r="F69" s="117">
        <v>-0.45</v>
      </c>
      <c r="G69" s="118"/>
      <c r="H69" s="119"/>
      <c r="I69" s="221">
        <v>-0.06</v>
      </c>
      <c r="J69" s="222"/>
      <c r="K69" s="119"/>
      <c r="L69" s="117">
        <v>-0.06</v>
      </c>
      <c r="M69" s="118"/>
      <c r="N69" s="119"/>
      <c r="O69" s="117">
        <v>-0.06</v>
      </c>
      <c r="P69" s="118"/>
      <c r="Q69" s="119"/>
      <c r="R69" s="345">
        <v>-0.06</v>
      </c>
      <c r="S69" s="346"/>
      <c r="T69" s="119"/>
      <c r="U69" s="424">
        <v>-0.06</v>
      </c>
      <c r="V69" s="425"/>
      <c r="W69" s="391"/>
      <c r="X69" s="117">
        <v>-0.06</v>
      </c>
      <c r="Y69" s="118"/>
      <c r="Z69" s="119"/>
      <c r="AA69" s="117">
        <v>-0.25</v>
      </c>
      <c r="AB69" s="118"/>
      <c r="AC69" s="119"/>
      <c r="AD69" s="117">
        <v>-0.06</v>
      </c>
      <c r="AE69" s="118"/>
      <c r="AF69" s="119"/>
      <c r="AG69" s="117">
        <v>-0.06</v>
      </c>
      <c r="AH69" s="118"/>
      <c r="AI69" s="119"/>
      <c r="AJ69" s="117"/>
      <c r="AK69" s="118"/>
      <c r="AL69" s="119"/>
    </row>
    <row r="70" spans="1:38" ht="18.75" x14ac:dyDescent="0.25">
      <c r="A70" s="9" t="s">
        <v>64</v>
      </c>
      <c r="B70" s="37" t="s">
        <v>10</v>
      </c>
      <c r="C70" s="120">
        <v>-6.4000000000000001E-2</v>
      </c>
      <c r="D70" s="494">
        <f t="shared" ref="D70" si="42">IF(D$4=0,D83,D90)</f>
        <v>0</v>
      </c>
      <c r="E70" s="108"/>
      <c r="F70" s="120">
        <v>-0.18</v>
      </c>
      <c r="G70" s="121"/>
      <c r="H70" s="108"/>
      <c r="I70" s="223">
        <v>-6.4000000000000001E-2</v>
      </c>
      <c r="J70" s="224"/>
      <c r="K70" s="108"/>
      <c r="L70" s="120">
        <v>-6.4000000000000001E-2</v>
      </c>
      <c r="M70" s="121"/>
      <c r="N70" s="108"/>
      <c r="O70" s="120">
        <v>-6.4000000000000001E-2</v>
      </c>
      <c r="P70" s="121"/>
      <c r="Q70" s="108"/>
      <c r="R70" s="347">
        <v>-6.4000000000000001E-2</v>
      </c>
      <c r="S70" s="348"/>
      <c r="T70" s="108"/>
      <c r="U70" s="424">
        <v>-6.4000000000000001E-2</v>
      </c>
      <c r="V70" s="425"/>
      <c r="W70" s="391"/>
      <c r="X70" s="120">
        <v>-6.4000000000000001E-2</v>
      </c>
      <c r="Y70" s="121"/>
      <c r="Z70" s="108"/>
      <c r="AA70" s="120">
        <v>-6.4000000000000001E-2</v>
      </c>
      <c r="AB70" s="121"/>
      <c r="AC70" s="108"/>
      <c r="AD70" s="120">
        <v>-6.4000000000000001E-2</v>
      </c>
      <c r="AE70" s="121"/>
      <c r="AF70" s="108"/>
      <c r="AG70" s="120">
        <v>-6.4000000000000001E-2</v>
      </c>
      <c r="AH70" s="121"/>
      <c r="AI70" s="108"/>
      <c r="AJ70" s="120"/>
      <c r="AK70" s="121"/>
      <c r="AL70" s="108"/>
    </row>
    <row r="71" spans="1:38" ht="18.75" x14ac:dyDescent="0.25">
      <c r="A71" s="9" t="s">
        <v>65</v>
      </c>
      <c r="B71" s="37" t="s">
        <v>10</v>
      </c>
      <c r="C71" s="120">
        <v>-1.8000000000000002E-2</v>
      </c>
      <c r="D71" s="494">
        <f>IF(D$4=0,D84,D91)</f>
        <v>0</v>
      </c>
      <c r="E71" s="108"/>
      <c r="F71" s="120">
        <v>-6.9999999999999993E-2</v>
      </c>
      <c r="G71" s="121"/>
      <c r="H71" s="108"/>
      <c r="I71" s="223">
        <v>-1.8000000000000002E-2</v>
      </c>
      <c r="J71" s="224"/>
      <c r="K71" s="108"/>
      <c r="L71" s="120">
        <v>-1.8000000000000002E-2</v>
      </c>
      <c r="M71" s="121"/>
      <c r="N71" s="108"/>
      <c r="O71" s="120">
        <v>-1.8000000000000002E-2</v>
      </c>
      <c r="P71" s="121"/>
      <c r="Q71" s="108"/>
      <c r="R71" s="347">
        <v>-1.8000000000000002E-2</v>
      </c>
      <c r="S71" s="348"/>
      <c r="T71" s="108"/>
      <c r="U71" s="424">
        <v>-1.8000000000000002E-2</v>
      </c>
      <c r="V71" s="425"/>
      <c r="W71" s="391"/>
      <c r="X71" s="120">
        <v>-1.8000000000000002E-2</v>
      </c>
      <c r="Y71" s="121"/>
      <c r="Z71" s="108"/>
      <c r="AA71" s="120">
        <v>-1.8000000000000002E-2</v>
      </c>
      <c r="AB71" s="121"/>
      <c r="AC71" s="108"/>
      <c r="AD71" s="120">
        <v>-1.8000000000000002E-2</v>
      </c>
      <c r="AE71" s="121"/>
      <c r="AF71" s="108"/>
      <c r="AG71" s="120">
        <v>-1.8000000000000002E-2</v>
      </c>
      <c r="AH71" s="121"/>
      <c r="AI71" s="108"/>
      <c r="AJ71" s="120"/>
      <c r="AK71" s="121"/>
      <c r="AL71" s="108"/>
    </row>
    <row r="72" spans="1:38" ht="16.5" thickBot="1" x14ac:dyDescent="0.3">
      <c r="A72" s="26" t="s">
        <v>66</v>
      </c>
      <c r="B72" s="27" t="s">
        <v>19</v>
      </c>
      <c r="C72" s="122">
        <f>SUM(C69:C71)</f>
        <v>-0.14200000000000002</v>
      </c>
      <c r="D72" s="123">
        <f>SUM(D69:D71)</f>
        <v>0</v>
      </c>
      <c r="E72" s="124"/>
      <c r="F72" s="122">
        <f>SUM(F69:F71)</f>
        <v>-0.7</v>
      </c>
      <c r="G72" s="123">
        <f>SUM(G69:G71)</f>
        <v>0</v>
      </c>
      <c r="H72" s="124"/>
      <c r="I72" s="225">
        <f>SUM(I69:I71)</f>
        <v>-0.14200000000000002</v>
      </c>
      <c r="J72" s="226">
        <f>SUM(J69:J71)</f>
        <v>0</v>
      </c>
      <c r="K72" s="227"/>
      <c r="L72" s="122">
        <f>SUM(L69:L71)</f>
        <v>-0.14200000000000002</v>
      </c>
      <c r="M72" s="123">
        <f>SUM(M69:M71)</f>
        <v>0</v>
      </c>
      <c r="N72" s="124"/>
      <c r="O72" s="122">
        <f>SUM(O69:O71)</f>
        <v>-0.14200000000000002</v>
      </c>
      <c r="P72" s="123">
        <f>SUM(P69:P71)</f>
        <v>0</v>
      </c>
      <c r="Q72" s="124"/>
      <c r="R72" s="349">
        <f>SUM(R69:R71)</f>
        <v>-0.14200000000000002</v>
      </c>
      <c r="S72" s="350">
        <f>SUM(S69:S71)</f>
        <v>0</v>
      </c>
      <c r="T72" s="351"/>
      <c r="U72" s="426">
        <f>SUM(U69:U71)</f>
        <v>-0.14200000000000002</v>
      </c>
      <c r="V72" s="426">
        <f>SUM(V69:V71)</f>
        <v>0</v>
      </c>
      <c r="W72" s="427"/>
      <c r="X72" s="122">
        <f>SUM(X69:X71)</f>
        <v>-0.14200000000000002</v>
      </c>
      <c r="Y72" s="123">
        <f>SUM(Y69:Y71)</f>
        <v>0</v>
      </c>
      <c r="Z72" s="124"/>
      <c r="AA72" s="122">
        <f>SUM(AA69:AA71)</f>
        <v>-0.33200000000000002</v>
      </c>
      <c r="AB72" s="123">
        <f>SUM(AB69:AB71)</f>
        <v>0</v>
      </c>
      <c r="AC72" s="124"/>
      <c r="AD72" s="122">
        <f>SUM(AD69:AD71)</f>
        <v>-0.14200000000000002</v>
      </c>
      <c r="AE72" s="123">
        <f>SUM(AE69:AE71)</f>
        <v>0</v>
      </c>
      <c r="AF72" s="124"/>
      <c r="AG72" s="122">
        <f>SUM(AG69:AG71)</f>
        <v>-0.14200000000000002</v>
      </c>
      <c r="AH72" s="123">
        <f>SUM(AH69:AH71)</f>
        <v>0</v>
      </c>
      <c r="AI72" s="124"/>
      <c r="AJ72" s="122"/>
      <c r="AK72" s="123"/>
      <c r="AL72" s="124"/>
    </row>
    <row r="73" spans="1:38" ht="16.5" thickBot="1" x14ac:dyDescent="0.3">
      <c r="A73" s="26" t="s">
        <v>67</v>
      </c>
      <c r="B73" s="27" t="s">
        <v>19</v>
      </c>
      <c r="C73" s="125">
        <f>1+C72</f>
        <v>0.85799999999999998</v>
      </c>
      <c r="D73" s="126">
        <f>1+D72</f>
        <v>1</v>
      </c>
      <c r="E73" s="127"/>
      <c r="F73" s="125">
        <f>1+F72</f>
        <v>0.30000000000000004</v>
      </c>
      <c r="G73" s="126">
        <f>1+G72</f>
        <v>1</v>
      </c>
      <c r="H73" s="127"/>
      <c r="I73" s="228">
        <f>1+I72</f>
        <v>0.85799999999999998</v>
      </c>
      <c r="J73" s="229">
        <f>1+J72</f>
        <v>1</v>
      </c>
      <c r="K73" s="230"/>
      <c r="L73" s="125">
        <f>1+L72</f>
        <v>0.85799999999999998</v>
      </c>
      <c r="M73" s="126">
        <f>1+M72</f>
        <v>1</v>
      </c>
      <c r="N73" s="127"/>
      <c r="O73" s="125">
        <f>1+O72</f>
        <v>0.85799999999999998</v>
      </c>
      <c r="P73" s="126">
        <f>1+P72</f>
        <v>1</v>
      </c>
      <c r="Q73" s="127"/>
      <c r="R73" s="352">
        <f>1+R72</f>
        <v>0.85799999999999998</v>
      </c>
      <c r="S73" s="353">
        <f>1+S72</f>
        <v>1</v>
      </c>
      <c r="T73" s="354"/>
      <c r="U73" s="428">
        <f>1+U72</f>
        <v>0.85799999999999998</v>
      </c>
      <c r="V73" s="428">
        <f>1+V72</f>
        <v>1</v>
      </c>
      <c r="W73" s="429"/>
      <c r="X73" s="125">
        <f>1+X72</f>
        <v>0.85799999999999998</v>
      </c>
      <c r="Y73" s="126">
        <f>1+Y72</f>
        <v>1</v>
      </c>
      <c r="Z73" s="127"/>
      <c r="AA73" s="125">
        <f>1+AA72</f>
        <v>0.66799999999999993</v>
      </c>
      <c r="AB73" s="126">
        <f>1+AB72</f>
        <v>1</v>
      </c>
      <c r="AC73" s="127"/>
      <c r="AD73" s="125">
        <f>1+AD72</f>
        <v>0.85799999999999998</v>
      </c>
      <c r="AE73" s="126">
        <f>1+AE72</f>
        <v>1</v>
      </c>
      <c r="AF73" s="127"/>
      <c r="AG73" s="125">
        <f>1+AG72</f>
        <v>0.85799999999999998</v>
      </c>
      <c r="AH73" s="126">
        <f>1+AH72</f>
        <v>1</v>
      </c>
      <c r="AI73" s="127"/>
      <c r="AJ73" s="125"/>
      <c r="AK73" s="126"/>
      <c r="AL73" s="127"/>
    </row>
    <row r="74" spans="1:38" x14ac:dyDescent="0.25">
      <c r="A74" s="14"/>
      <c r="B74" s="40"/>
      <c r="C74" s="70"/>
      <c r="D74" s="70"/>
      <c r="E74" s="71"/>
      <c r="F74" s="70"/>
      <c r="G74" s="70"/>
      <c r="H74" s="71"/>
      <c r="I74" s="172"/>
      <c r="J74" s="172"/>
      <c r="K74" s="173"/>
      <c r="L74" s="70"/>
      <c r="M74" s="70"/>
      <c r="N74" s="71"/>
      <c r="O74" s="70"/>
      <c r="P74" s="70"/>
      <c r="Q74" s="71"/>
      <c r="R74" s="294"/>
      <c r="S74" s="294"/>
      <c r="T74" s="295"/>
      <c r="U74" s="393"/>
      <c r="V74" s="393"/>
      <c r="W74" s="394"/>
      <c r="X74" s="70"/>
      <c r="Y74" s="70"/>
      <c r="Z74" s="71"/>
      <c r="AA74" s="70"/>
      <c r="AB74" s="70"/>
      <c r="AC74" s="71"/>
      <c r="AD74" s="70"/>
      <c r="AE74" s="70"/>
      <c r="AF74" s="71"/>
      <c r="AG74" s="70"/>
      <c r="AH74" s="70"/>
      <c r="AI74" s="71"/>
      <c r="AJ74" s="70"/>
      <c r="AK74" s="70"/>
      <c r="AL74" s="71"/>
    </row>
    <row r="75" spans="1:38" ht="19.5" thickBot="1" x14ac:dyDescent="0.35">
      <c r="A75" s="31" t="s">
        <v>68</v>
      </c>
      <c r="B75" s="36"/>
      <c r="C75" s="128"/>
      <c r="D75" s="89"/>
      <c r="E75" s="88"/>
      <c r="F75" s="128"/>
      <c r="G75" s="89"/>
      <c r="H75" s="88"/>
      <c r="I75" s="231"/>
      <c r="J75" s="36"/>
      <c r="K75" s="196"/>
      <c r="L75" s="128"/>
      <c r="M75" s="89"/>
      <c r="N75" s="88"/>
      <c r="O75" s="128"/>
      <c r="P75" s="89"/>
      <c r="Q75" s="88"/>
      <c r="R75" s="355"/>
      <c r="S75" s="319"/>
      <c r="T75" s="318"/>
      <c r="U75" s="430"/>
      <c r="V75" s="407"/>
      <c r="W75" s="406"/>
      <c r="X75" s="128"/>
      <c r="Y75" s="89"/>
      <c r="Z75" s="88"/>
      <c r="AA75" s="128"/>
      <c r="AB75" s="89"/>
      <c r="AC75" s="88"/>
      <c r="AD75" s="128"/>
      <c r="AE75" s="89"/>
      <c r="AF75" s="88"/>
      <c r="AG75" s="128"/>
      <c r="AH75" s="89"/>
      <c r="AI75" s="88"/>
      <c r="AJ75" s="128"/>
      <c r="AK75" s="89"/>
      <c r="AL75" s="88"/>
    </row>
    <row r="76" spans="1:38" ht="19.5" thickBot="1" x14ac:dyDescent="0.4">
      <c r="A76" s="41" t="s">
        <v>69</v>
      </c>
      <c r="B76" s="42" t="s">
        <v>70</v>
      </c>
      <c r="C76" s="129"/>
      <c r="D76" s="129"/>
      <c r="E76" s="130">
        <v>1.7000000000000001E-2</v>
      </c>
      <c r="F76" s="129"/>
      <c r="G76" s="129"/>
      <c r="H76" s="130">
        <v>1.7000000000000001E-2</v>
      </c>
      <c r="I76" s="232"/>
      <c r="J76" s="232"/>
      <c r="K76" s="233">
        <v>1.7000000000000001E-2</v>
      </c>
      <c r="L76" s="129"/>
      <c r="M76" s="129"/>
      <c r="N76" s="130">
        <v>1.7000000000000001E-2</v>
      </c>
      <c r="O76" s="129"/>
      <c r="P76" s="129"/>
      <c r="Q76" s="272">
        <v>1.7000000000000001E-2</v>
      </c>
      <c r="R76" s="356"/>
      <c r="S76" s="356"/>
      <c r="T76" s="357">
        <v>1.7000000000000001E-2</v>
      </c>
      <c r="U76" s="431"/>
      <c r="V76" s="431"/>
      <c r="W76" s="432">
        <v>1.7000000000000001E-2</v>
      </c>
      <c r="X76" s="129"/>
      <c r="Y76" s="129"/>
      <c r="Z76" s="130">
        <v>1.7000000000000001E-2</v>
      </c>
      <c r="AA76" s="129"/>
      <c r="AB76" s="129"/>
      <c r="AC76" s="130">
        <v>1.7000000000000001E-2</v>
      </c>
      <c r="AD76" s="129"/>
      <c r="AE76" s="129"/>
      <c r="AF76" s="130">
        <v>1.7000000000000001E-2</v>
      </c>
      <c r="AG76" s="129"/>
      <c r="AH76" s="129"/>
      <c r="AI76" s="130">
        <v>1.7000000000000001E-2</v>
      </c>
      <c r="AJ76" s="129"/>
      <c r="AK76" s="129"/>
      <c r="AL76" s="130"/>
    </row>
    <row r="77" spans="1:38" ht="18.75" x14ac:dyDescent="0.25">
      <c r="A77" s="7" t="s">
        <v>71</v>
      </c>
      <c r="B77" s="11" t="s">
        <v>10</v>
      </c>
      <c r="C77" s="129"/>
      <c r="D77" s="129"/>
      <c r="E77" s="131">
        <v>1E-3</v>
      </c>
      <c r="F77" s="129"/>
      <c r="G77" s="129"/>
      <c r="H77" s="131">
        <v>1E-3</v>
      </c>
      <c r="I77" s="232"/>
      <c r="J77" s="232"/>
      <c r="K77" s="234">
        <v>1E-3</v>
      </c>
      <c r="L77" s="129"/>
      <c r="M77" s="129"/>
      <c r="N77" s="131">
        <v>1E-3</v>
      </c>
      <c r="O77" s="129"/>
      <c r="P77" s="129"/>
      <c r="Q77" s="273">
        <v>1E-3</v>
      </c>
      <c r="R77" s="356"/>
      <c r="S77" s="356"/>
      <c r="T77" s="358">
        <v>1E-3</v>
      </c>
      <c r="U77" s="431"/>
      <c r="V77" s="431"/>
      <c r="W77" s="433">
        <v>1E-3</v>
      </c>
      <c r="X77" s="129"/>
      <c r="Y77" s="129"/>
      <c r="Z77" s="131">
        <v>1E-3</v>
      </c>
      <c r="AA77" s="129"/>
      <c r="AB77" s="129"/>
      <c r="AC77" s="131">
        <v>1E-3</v>
      </c>
      <c r="AD77" s="129"/>
      <c r="AE77" s="129"/>
      <c r="AF77" s="131">
        <v>1E-3</v>
      </c>
      <c r="AG77" s="129"/>
      <c r="AH77" s="129"/>
      <c r="AI77" s="131">
        <v>1E-3</v>
      </c>
      <c r="AJ77" s="129"/>
      <c r="AK77" s="129"/>
      <c r="AL77" s="131"/>
    </row>
    <row r="78" spans="1:38" ht="18.75" x14ac:dyDescent="0.25">
      <c r="A78" s="7" t="s">
        <v>72</v>
      </c>
      <c r="B78" s="11" t="s">
        <v>10</v>
      </c>
      <c r="C78" s="132"/>
      <c r="D78" s="132"/>
      <c r="E78" s="131">
        <v>0.02</v>
      </c>
      <c r="F78" s="132"/>
      <c r="G78" s="132"/>
      <c r="H78" s="131">
        <v>0.02</v>
      </c>
      <c r="I78" s="235"/>
      <c r="J78" s="235"/>
      <c r="K78" s="234">
        <v>0.02</v>
      </c>
      <c r="L78" s="132"/>
      <c r="M78" s="132"/>
      <c r="N78" s="131">
        <v>0.02</v>
      </c>
      <c r="O78" s="132"/>
      <c r="P78" s="132"/>
      <c r="Q78" s="274">
        <v>0.02</v>
      </c>
      <c r="R78" s="359"/>
      <c r="S78" s="359"/>
      <c r="T78" s="358">
        <v>0.02</v>
      </c>
      <c r="U78" s="431"/>
      <c r="V78" s="431"/>
      <c r="W78" s="433">
        <v>0.02</v>
      </c>
      <c r="X78" s="132"/>
      <c r="Y78" s="132"/>
      <c r="Z78" s="131">
        <v>0.02</v>
      </c>
      <c r="AA78" s="132"/>
      <c r="AB78" s="132"/>
      <c r="AC78" s="131">
        <v>0.02</v>
      </c>
      <c r="AD78" s="132"/>
      <c r="AE78" s="132"/>
      <c r="AF78" s="131">
        <v>0.02</v>
      </c>
      <c r="AG78" s="132"/>
      <c r="AH78" s="132"/>
      <c r="AI78" s="131">
        <v>0.02</v>
      </c>
      <c r="AJ78" s="132"/>
      <c r="AK78" s="132"/>
      <c r="AL78" s="131"/>
    </row>
    <row r="79" spans="1:38" ht="18.75" x14ac:dyDescent="0.25">
      <c r="A79" s="7" t="s">
        <v>73</v>
      </c>
      <c r="B79" s="11" t="s">
        <v>10</v>
      </c>
      <c r="C79" s="132"/>
      <c r="D79" s="132"/>
      <c r="E79" s="131">
        <v>0.03</v>
      </c>
      <c r="F79" s="132"/>
      <c r="G79" s="132"/>
      <c r="H79" s="131">
        <v>0.03</v>
      </c>
      <c r="I79" s="235"/>
      <c r="J79" s="235"/>
      <c r="K79" s="234">
        <v>0.03</v>
      </c>
      <c r="L79" s="132"/>
      <c r="M79" s="132"/>
      <c r="N79" s="131">
        <v>0.03</v>
      </c>
      <c r="O79" s="132"/>
      <c r="P79" s="132"/>
      <c r="Q79" s="274">
        <v>0.03</v>
      </c>
      <c r="R79" s="359"/>
      <c r="S79" s="359"/>
      <c r="T79" s="358">
        <v>0.03</v>
      </c>
      <c r="U79" s="431"/>
      <c r="V79" s="431"/>
      <c r="W79" s="433">
        <v>0.03</v>
      </c>
      <c r="X79" s="132"/>
      <c r="Y79" s="132"/>
      <c r="Z79" s="131">
        <v>0.03</v>
      </c>
      <c r="AA79" s="132"/>
      <c r="AB79" s="132"/>
      <c r="AC79" s="131">
        <v>0.03</v>
      </c>
      <c r="AD79" s="132"/>
      <c r="AE79" s="132"/>
      <c r="AF79" s="131">
        <v>0.03</v>
      </c>
      <c r="AG79" s="132"/>
      <c r="AH79" s="132"/>
      <c r="AI79" s="131">
        <v>0.03</v>
      </c>
      <c r="AJ79" s="132"/>
      <c r="AK79" s="132"/>
      <c r="AL79" s="131"/>
    </row>
    <row r="80" spans="1:38" ht="18.75" x14ac:dyDescent="0.25">
      <c r="A80" s="7" t="s">
        <v>74</v>
      </c>
      <c r="B80" s="11"/>
      <c r="C80" s="132"/>
      <c r="D80" s="132"/>
      <c r="E80" s="131"/>
      <c r="F80" s="132"/>
      <c r="G80" s="132"/>
      <c r="H80" s="131"/>
      <c r="I80" s="235"/>
      <c r="J80" s="235"/>
      <c r="K80" s="234"/>
      <c r="L80" s="132"/>
      <c r="M80" s="132"/>
      <c r="N80" s="131"/>
      <c r="O80" s="132"/>
      <c r="P80" s="132"/>
      <c r="Q80" s="274"/>
      <c r="R80" s="359"/>
      <c r="S80" s="359"/>
      <c r="T80" s="358"/>
      <c r="U80" s="431"/>
      <c r="V80" s="431"/>
      <c r="W80" s="433"/>
      <c r="X80" s="132"/>
      <c r="Y80" s="132"/>
      <c r="Z80" s="131"/>
      <c r="AA80" s="132"/>
      <c r="AB80" s="132"/>
      <c r="AC80" s="131"/>
      <c r="AD80" s="132"/>
      <c r="AE80" s="132"/>
      <c r="AF80" s="131"/>
      <c r="AG80" s="132"/>
      <c r="AH80" s="132"/>
      <c r="AI80" s="131"/>
      <c r="AJ80" s="132"/>
      <c r="AK80" s="132"/>
      <c r="AL80" s="131"/>
    </row>
    <row r="81" spans="1:38" x14ac:dyDescent="0.25">
      <c r="A81" s="12" t="s">
        <v>75</v>
      </c>
      <c r="B81" s="13" t="s">
        <v>19</v>
      </c>
      <c r="C81" s="132"/>
      <c r="D81" s="132"/>
      <c r="E81" s="133">
        <f>E76-E77+E78+E79</f>
        <v>6.6000000000000003E-2</v>
      </c>
      <c r="F81" s="132"/>
      <c r="G81" s="132"/>
      <c r="H81" s="133">
        <f>H76-H77+H78+H79</f>
        <v>6.6000000000000003E-2</v>
      </c>
      <c r="I81" s="235"/>
      <c r="J81" s="235"/>
      <c r="K81" s="236">
        <f>K76-K77+K78+K79</f>
        <v>6.6000000000000003E-2</v>
      </c>
      <c r="L81" s="132"/>
      <c r="M81" s="132"/>
      <c r="N81" s="133">
        <f>N76-N77+N78+N79</f>
        <v>6.6000000000000003E-2</v>
      </c>
      <c r="O81" s="132"/>
      <c r="P81" s="132"/>
      <c r="Q81" s="275">
        <f>Q76-Q77+Q78+Q79</f>
        <v>6.6000000000000003E-2</v>
      </c>
      <c r="R81" s="359"/>
      <c r="S81" s="359"/>
      <c r="T81" s="360">
        <f>T76-T77+T78+T79</f>
        <v>6.6000000000000003E-2</v>
      </c>
      <c r="U81" s="431"/>
      <c r="V81" s="431"/>
      <c r="W81" s="434">
        <f>W76-W77+W78+W79</f>
        <v>6.6000000000000003E-2</v>
      </c>
      <c r="X81" s="132"/>
      <c r="Y81" s="132"/>
      <c r="Z81" s="133">
        <f>Z76-Z77+Z78+Z79</f>
        <v>6.6000000000000003E-2</v>
      </c>
      <c r="AA81" s="132"/>
      <c r="AB81" s="132"/>
      <c r="AC81" s="133">
        <f>AC76-AC77+AC78+AC79</f>
        <v>6.6000000000000003E-2</v>
      </c>
      <c r="AD81" s="132"/>
      <c r="AE81" s="132"/>
      <c r="AF81" s="133">
        <f>AF76-AF77+AF78+AF79</f>
        <v>6.6000000000000003E-2</v>
      </c>
      <c r="AG81" s="132"/>
      <c r="AH81" s="132"/>
      <c r="AI81" s="133">
        <f>AI76-AI77+AI78+AI79</f>
        <v>6.6000000000000003E-2</v>
      </c>
      <c r="AJ81" s="132"/>
      <c r="AK81" s="132"/>
      <c r="AL81" s="133"/>
    </row>
    <row r="82" spans="1:38" x14ac:dyDescent="0.25">
      <c r="A82" s="12" t="s">
        <v>76</v>
      </c>
      <c r="B82" s="13" t="s">
        <v>19</v>
      </c>
      <c r="C82" s="132"/>
      <c r="D82" s="132"/>
      <c r="E82" s="134">
        <f>(1+E81)</f>
        <v>1.0660000000000001</v>
      </c>
      <c r="F82" s="132"/>
      <c r="G82" s="132"/>
      <c r="H82" s="134">
        <f>(1+H81)</f>
        <v>1.0660000000000001</v>
      </c>
      <c r="I82" s="235"/>
      <c r="J82" s="235"/>
      <c r="K82" s="237">
        <f>(1+K81)</f>
        <v>1.0660000000000001</v>
      </c>
      <c r="L82" s="132"/>
      <c r="M82" s="132"/>
      <c r="N82" s="134">
        <f>(1+N81)</f>
        <v>1.0660000000000001</v>
      </c>
      <c r="O82" s="132"/>
      <c r="P82" s="132"/>
      <c r="Q82" s="276">
        <f>(1+Q81)</f>
        <v>1.0660000000000001</v>
      </c>
      <c r="R82" s="359"/>
      <c r="S82" s="359"/>
      <c r="T82" s="361">
        <f>(1+T81)</f>
        <v>1.0660000000000001</v>
      </c>
      <c r="U82" s="431"/>
      <c r="V82" s="431"/>
      <c r="W82" s="435">
        <f>(1+W81)</f>
        <v>1.0660000000000001</v>
      </c>
      <c r="X82" s="132"/>
      <c r="Y82" s="132"/>
      <c r="Z82" s="134">
        <f>(1+Z81)</f>
        <v>1.0660000000000001</v>
      </c>
      <c r="AA82" s="132"/>
      <c r="AB82" s="132"/>
      <c r="AC82" s="134">
        <f>(1+AC81)</f>
        <v>1.0660000000000001</v>
      </c>
      <c r="AD82" s="132"/>
      <c r="AE82" s="132"/>
      <c r="AF82" s="134">
        <f>(1+AF81)</f>
        <v>1.0660000000000001</v>
      </c>
      <c r="AG82" s="132"/>
      <c r="AH82" s="132"/>
      <c r="AI82" s="134">
        <f>(1+AI81)</f>
        <v>1.0660000000000001</v>
      </c>
      <c r="AJ82" s="132"/>
      <c r="AK82" s="132"/>
      <c r="AL82" s="134"/>
    </row>
    <row r="83" spans="1:38" ht="18.75" x14ac:dyDescent="0.25">
      <c r="A83" s="43" t="s">
        <v>77</v>
      </c>
      <c r="B83" s="44" t="s">
        <v>19</v>
      </c>
      <c r="C83" s="160">
        <f t="shared" ref="C83:G83" si="43">C55</f>
        <v>387434.03034798976</v>
      </c>
      <c r="D83" s="160">
        <f t="shared" si="43"/>
        <v>18762.330000000002</v>
      </c>
      <c r="E83" s="160">
        <f t="shared" si="43"/>
        <v>406196.36034798977</v>
      </c>
      <c r="F83" s="150">
        <f t="shared" si="43"/>
        <v>5994750.5161765683</v>
      </c>
      <c r="G83" s="150">
        <f t="shared" si="43"/>
        <v>612253.16999999993</v>
      </c>
      <c r="H83" s="256">
        <f>F83+G83</f>
        <v>6607003.6861765683</v>
      </c>
      <c r="I83" s="150">
        <f>I55</f>
        <v>270341.95548345125</v>
      </c>
      <c r="J83" s="150">
        <f>J55</f>
        <v>31911.040000000001</v>
      </c>
      <c r="K83" s="238">
        <f>K55</f>
        <v>302252.99548345123</v>
      </c>
      <c r="L83" s="150">
        <f>L59</f>
        <v>1187150.9480927861</v>
      </c>
      <c r="M83" s="150">
        <f>M59</f>
        <v>70979.7</v>
      </c>
      <c r="N83" s="256">
        <f>N59</f>
        <v>1258130.6480927861</v>
      </c>
      <c r="O83" s="150">
        <f t="shared" ref="O83:Q83" si="44">O55</f>
        <v>688274.0857594891</v>
      </c>
      <c r="P83" s="150">
        <f t="shared" si="44"/>
        <v>23755.96</v>
      </c>
      <c r="Q83" s="277">
        <f t="shared" si="44"/>
        <v>712030.04575948906</v>
      </c>
      <c r="R83" s="150">
        <f t="shared" ref="R83:W83" si="45">R55</f>
        <v>283187.79980323219</v>
      </c>
      <c r="S83" s="150">
        <f t="shared" si="45"/>
        <v>38067</v>
      </c>
      <c r="T83" s="363">
        <f t="shared" si="45"/>
        <v>321254.79980323219</v>
      </c>
      <c r="U83" s="150">
        <f t="shared" si="45"/>
        <v>3189944.4673790056</v>
      </c>
      <c r="V83" s="150">
        <f t="shared" si="45"/>
        <v>59906.62</v>
      </c>
      <c r="W83" s="436">
        <f t="shared" si="45"/>
        <v>3249851.0873790057</v>
      </c>
      <c r="X83" s="150">
        <f t="shared" ref="X83" si="46">X55</f>
        <v>429261.710939524</v>
      </c>
      <c r="Y83" s="150">
        <f>Y55</f>
        <v>12246.17</v>
      </c>
      <c r="Z83" s="256">
        <f>Z55</f>
        <v>441507.88093952398</v>
      </c>
      <c r="AA83" s="150">
        <f>AA59</f>
        <v>5554774.4463239592</v>
      </c>
      <c r="AB83" s="150">
        <f>AB59</f>
        <v>511096.06</v>
      </c>
      <c r="AC83" s="256">
        <f>AC59</f>
        <v>6065870.5063239587</v>
      </c>
      <c r="AD83" s="150">
        <f t="shared" ref="AD83:AI83" si="47">AD55</f>
        <v>1449630.4293946472</v>
      </c>
      <c r="AE83" s="445">
        <f t="shared" si="47"/>
        <v>44398.07</v>
      </c>
      <c r="AF83" s="256">
        <f t="shared" si="47"/>
        <v>1494028.4993946473</v>
      </c>
      <c r="AG83" s="150">
        <f t="shared" si="47"/>
        <v>185263.49519960344</v>
      </c>
      <c r="AH83" s="150">
        <f t="shared" si="47"/>
        <v>35025</v>
      </c>
      <c r="AI83" s="256">
        <f t="shared" si="47"/>
        <v>220288.49519960344</v>
      </c>
      <c r="AJ83" s="445">
        <f>AG83+AD83+AA83+X83+U83+R83+O83+L83+I83+F83+C83</f>
        <v>19620013.884900257</v>
      </c>
      <c r="AK83" s="445">
        <f t="shared" ref="AK83:AL83" si="48">AH83+AE83+AB83+Y83+V83+S83+P83+M83+J83+G83+D83</f>
        <v>1458401.12</v>
      </c>
      <c r="AL83" s="445">
        <f t="shared" si="48"/>
        <v>21078415.004900258</v>
      </c>
    </row>
    <row r="84" spans="1:38" ht="18.75" x14ac:dyDescent="0.25">
      <c r="A84" s="45" t="s">
        <v>78</v>
      </c>
      <c r="C84" s="150">
        <v>321631</v>
      </c>
      <c r="D84" s="150">
        <v>0</v>
      </c>
      <c r="E84" s="160">
        <f>C84+D84</f>
        <v>321631</v>
      </c>
      <c r="F84" s="150">
        <v>4285348</v>
      </c>
      <c r="G84" s="150">
        <v>113084</v>
      </c>
      <c r="H84" s="160">
        <f>F84+G84</f>
        <v>4398432</v>
      </c>
      <c r="I84" s="150">
        <v>230158</v>
      </c>
      <c r="J84" s="150">
        <v>0</v>
      </c>
      <c r="K84" s="160">
        <f>I84+J84</f>
        <v>230158</v>
      </c>
      <c r="L84" s="150">
        <v>855110</v>
      </c>
      <c r="M84" s="150">
        <v>0</v>
      </c>
      <c r="N84" s="160">
        <f>L84+M84</f>
        <v>855110</v>
      </c>
      <c r="O84" s="150">
        <v>532304</v>
      </c>
      <c r="P84" s="150">
        <v>0</v>
      </c>
      <c r="Q84" s="160">
        <f>O84+P84</f>
        <v>532304</v>
      </c>
      <c r="R84" s="150">
        <v>235016</v>
      </c>
      <c r="S84" s="150">
        <v>0</v>
      </c>
      <c r="T84" s="160">
        <f>R84+S84</f>
        <v>235016</v>
      </c>
      <c r="U84" s="150">
        <v>2261196</v>
      </c>
      <c r="V84" s="150">
        <v>0</v>
      </c>
      <c r="W84" s="160">
        <f>U84+V84</f>
        <v>2261196</v>
      </c>
      <c r="X84" s="150">
        <v>360423</v>
      </c>
      <c r="Y84" s="150">
        <v>0</v>
      </c>
      <c r="Z84" s="160">
        <f>X84+Y84</f>
        <v>360423</v>
      </c>
      <c r="AA84" s="150">
        <v>4140986</v>
      </c>
      <c r="AB84" s="150">
        <v>76760</v>
      </c>
      <c r="AC84" s="160">
        <f>AA84+AB84</f>
        <v>4217746</v>
      </c>
      <c r="AD84" s="150">
        <v>1102537</v>
      </c>
      <c r="AE84" s="150">
        <v>-57258.810000000056</v>
      </c>
      <c r="AF84" s="160">
        <f>AD84+AE84</f>
        <v>1045278.19</v>
      </c>
      <c r="AG84" s="150">
        <v>152251</v>
      </c>
      <c r="AH84" s="132">
        <v>0</v>
      </c>
      <c r="AI84" s="160">
        <f>AG84+AH84</f>
        <v>152251</v>
      </c>
      <c r="AJ84" s="132"/>
      <c r="AK84" s="132"/>
      <c r="AL84" s="135"/>
    </row>
    <row r="85" spans="1:38" ht="18.75" x14ac:dyDescent="0.25">
      <c r="A85" s="45" t="s">
        <v>79</v>
      </c>
      <c r="B85" s="46"/>
      <c r="C85" s="150">
        <v>67797</v>
      </c>
      <c r="D85" s="150">
        <v>19900</v>
      </c>
      <c r="E85" s="160">
        <f>C85+D85</f>
        <v>87697</v>
      </c>
      <c r="F85" s="150">
        <v>1698922</v>
      </c>
      <c r="G85" s="150">
        <v>338200</v>
      </c>
      <c r="H85" s="160">
        <f>F85+G85</f>
        <v>2037122</v>
      </c>
      <c r="I85" s="150">
        <v>43212</v>
      </c>
      <c r="J85" s="150">
        <v>23676</v>
      </c>
      <c r="K85" s="160">
        <f>I85+J85</f>
        <v>66888</v>
      </c>
      <c r="L85" s="150">
        <v>274272</v>
      </c>
      <c r="M85" s="150">
        <v>66519.64</v>
      </c>
      <c r="N85" s="160">
        <f>L85+M85</f>
        <v>340791.64</v>
      </c>
      <c r="O85" s="150">
        <v>101956</v>
      </c>
      <c r="P85" s="150">
        <v>33685.629999999997</v>
      </c>
      <c r="Q85" s="160">
        <f>O85+P85</f>
        <v>135641.63</v>
      </c>
      <c r="R85" s="150">
        <v>43882</v>
      </c>
      <c r="S85" s="150">
        <v>30596.91</v>
      </c>
      <c r="T85" s="160">
        <f>R85+S85</f>
        <v>74478.91</v>
      </c>
      <c r="U85" s="150">
        <v>724025</v>
      </c>
      <c r="V85" s="150">
        <v>64500</v>
      </c>
      <c r="W85" s="160">
        <f>U85+V85</f>
        <v>788525</v>
      </c>
      <c r="X85" s="150">
        <v>62294</v>
      </c>
      <c r="Y85" s="150">
        <v>12054</v>
      </c>
      <c r="Z85" s="160">
        <f>X85+Y85</f>
        <v>74348</v>
      </c>
      <c r="AA85" s="150">
        <v>1805013</v>
      </c>
      <c r="AB85" s="150">
        <v>499561.13</v>
      </c>
      <c r="AC85" s="160">
        <f>AA85+AB85</f>
        <v>2304574.13</v>
      </c>
      <c r="AD85" s="150">
        <v>320023</v>
      </c>
      <c r="AE85" s="150">
        <v>43700.07</v>
      </c>
      <c r="AF85" s="160">
        <f>AD85+AE85</f>
        <v>363723.07</v>
      </c>
      <c r="AG85" s="150">
        <v>27762</v>
      </c>
      <c r="AH85" s="150">
        <v>39618.620000000003</v>
      </c>
      <c r="AI85" s="160">
        <f>AG85+AH85</f>
        <v>67380.62</v>
      </c>
      <c r="AJ85" s="132"/>
      <c r="AK85" s="132"/>
      <c r="AL85" s="135"/>
    </row>
    <row r="86" spans="1:38" ht="18.75" x14ac:dyDescent="0.25">
      <c r="A86" s="43" t="s">
        <v>80</v>
      </c>
      <c r="B86" s="47" t="s">
        <v>10</v>
      </c>
      <c r="C86" s="150">
        <v>389428</v>
      </c>
      <c r="D86" s="150">
        <f>409328-C86</f>
        <v>19900</v>
      </c>
      <c r="E86" s="134">
        <f>C86+D86</f>
        <v>409328</v>
      </c>
      <c r="F86" s="445">
        <v>5984270</v>
      </c>
      <c r="G86" s="150">
        <f>188200+150000</f>
        <v>338200</v>
      </c>
      <c r="H86" s="451">
        <f>F86+G86</f>
        <v>6322470</v>
      </c>
      <c r="I86" s="150">
        <v>273370</v>
      </c>
      <c r="J86" s="150">
        <f>297046-I86</f>
        <v>23676</v>
      </c>
      <c r="K86" s="237">
        <f>I86+J86</f>
        <v>297046</v>
      </c>
      <c r="L86" s="150">
        <v>1129382</v>
      </c>
      <c r="M86" s="150">
        <f>1195901.64-L86</f>
        <v>66519.639999999898</v>
      </c>
      <c r="N86" s="257">
        <f>L86+M86</f>
        <v>1195901.6399999999</v>
      </c>
      <c r="O86" s="150">
        <v>634260</v>
      </c>
      <c r="P86" s="150">
        <f>667945.63-O86</f>
        <v>33685.630000000005</v>
      </c>
      <c r="Q86" s="278">
        <f>O86+P86</f>
        <v>667945.63</v>
      </c>
      <c r="R86" s="362">
        <v>278898</v>
      </c>
      <c r="S86" s="362">
        <f>309494.9-R86</f>
        <v>30596.900000000023</v>
      </c>
      <c r="T86" s="364">
        <f>R86+S86</f>
        <v>309494.90000000002</v>
      </c>
      <c r="U86" s="150">
        <v>2985221</v>
      </c>
      <c r="V86" s="150">
        <f>3049721-U86</f>
        <v>64500</v>
      </c>
      <c r="W86" s="437">
        <f>U86+V86</f>
        <v>3049721</v>
      </c>
      <c r="X86" s="150">
        <v>422717</v>
      </c>
      <c r="Y86" s="150">
        <f>434771-X86</f>
        <v>12054</v>
      </c>
      <c r="Z86" s="257">
        <f>X86+Y86</f>
        <v>434771</v>
      </c>
      <c r="AA86" s="150">
        <v>5945999</v>
      </c>
      <c r="AB86" s="150">
        <f>6522320.13-AA86</f>
        <v>576321.12999999989</v>
      </c>
      <c r="AC86" s="257">
        <f>AA86+AB86</f>
        <v>6522320.1299999999</v>
      </c>
      <c r="AD86" s="150">
        <v>1422560</v>
      </c>
      <c r="AE86" s="445">
        <v>43700.07</v>
      </c>
      <c r="AF86" s="257">
        <f>AD86+AE86</f>
        <v>1466260.07</v>
      </c>
      <c r="AG86" s="150">
        <v>180013</v>
      </c>
      <c r="AH86" s="150">
        <f>219631.62-AG86</f>
        <v>39618.619999999995</v>
      </c>
      <c r="AI86" s="257">
        <f>AG86+AH86</f>
        <v>219631.62</v>
      </c>
      <c r="AJ86" s="150">
        <f t="shared" ref="AJ86:AL86" si="49">AG86+AD86+AA86+X86+U86+R86+O86+L86+I86+F86+C86</f>
        <v>19646118</v>
      </c>
      <c r="AK86" s="150">
        <f t="shared" si="49"/>
        <v>1248771.9899999998</v>
      </c>
      <c r="AL86" s="150">
        <f t="shared" si="49"/>
        <v>20894889.990000002</v>
      </c>
    </row>
    <row r="87" spans="1:38" ht="19.5" thickBot="1" x14ac:dyDescent="0.3">
      <c r="A87" s="26" t="s">
        <v>81</v>
      </c>
      <c r="B87" s="27" t="s">
        <v>19</v>
      </c>
      <c r="C87" s="161">
        <f t="shared" ref="C87:H87" si="50">C83/C86</f>
        <v>0.99487974759901643</v>
      </c>
      <c r="D87" s="161">
        <f t="shared" si="50"/>
        <v>0.94283065326633175</v>
      </c>
      <c r="E87" s="137">
        <f t="shared" si="50"/>
        <v>0.99234931484772548</v>
      </c>
      <c r="F87" s="136">
        <f t="shared" si="50"/>
        <v>1.0017513441366397</v>
      </c>
      <c r="G87" s="136">
        <f t="shared" si="50"/>
        <v>1.8103287108219985</v>
      </c>
      <c r="H87" s="137">
        <f t="shared" si="50"/>
        <v>1.0450035644576516</v>
      </c>
      <c r="I87" s="239">
        <f>I83/I86</f>
        <v>0.98892327425632387</v>
      </c>
      <c r="J87" s="239">
        <f>J83/J86</f>
        <v>1.3478222672748776</v>
      </c>
      <c r="K87" s="240">
        <f>K83/K86</f>
        <v>1.0175292563557539</v>
      </c>
      <c r="L87" s="136">
        <f t="shared" ref="L87:N87" si="51">L83/L86</f>
        <v>1.0511509374974863</v>
      </c>
      <c r="M87" s="136">
        <f t="shared" si="51"/>
        <v>1.0670487693559392</v>
      </c>
      <c r="N87" s="137">
        <f t="shared" si="51"/>
        <v>1.0520352226398704</v>
      </c>
      <c r="O87" s="136">
        <f t="shared" ref="O87:Q87" si="52">O83/O86</f>
        <v>1.0851607948782662</v>
      </c>
      <c r="P87" s="136">
        <f t="shared" si="52"/>
        <v>0.70522534386324365</v>
      </c>
      <c r="Q87" s="279">
        <f t="shared" si="52"/>
        <v>1.0660000062572295</v>
      </c>
      <c r="R87" s="365">
        <f t="shared" ref="R87:W87" si="53">R83/R86</f>
        <v>1.015381249787493</v>
      </c>
      <c r="S87" s="365">
        <f t="shared" si="53"/>
        <v>1.2441456487421918</v>
      </c>
      <c r="T87" s="366">
        <f t="shared" si="53"/>
        <v>1.0379970713676774</v>
      </c>
      <c r="U87" s="416">
        <f t="shared" si="53"/>
        <v>1.0685789988007608</v>
      </c>
      <c r="V87" s="416">
        <f t="shared" si="53"/>
        <v>0.92878480620155046</v>
      </c>
      <c r="W87" s="429">
        <f t="shared" si="53"/>
        <v>1.0656224249296922</v>
      </c>
      <c r="X87" s="136">
        <f t="shared" ref="X87:AI87" si="54">X83/X86</f>
        <v>1.0154824881410589</v>
      </c>
      <c r="Y87" s="136">
        <f t="shared" si="54"/>
        <v>1.0159424257507881</v>
      </c>
      <c r="Z87" s="137">
        <f t="shared" si="54"/>
        <v>1.01549523988381</v>
      </c>
      <c r="AA87" s="136">
        <f t="shared" si="54"/>
        <v>0.93420373032756299</v>
      </c>
      <c r="AB87" s="136">
        <f t="shared" si="54"/>
        <v>0.8868251282058669</v>
      </c>
      <c r="AC87" s="137">
        <f t="shared" si="54"/>
        <v>0.93001729222450158</v>
      </c>
      <c r="AD87" s="136">
        <f t="shared" si="54"/>
        <v>1.0190293761912659</v>
      </c>
      <c r="AE87" s="136">
        <f t="shared" si="54"/>
        <v>1.0159725144605032</v>
      </c>
      <c r="AF87" s="137">
        <f t="shared" si="54"/>
        <v>1.0189382702037622</v>
      </c>
      <c r="AG87" s="136">
        <f t="shared" si="54"/>
        <v>1.0291673112475401</v>
      </c>
      <c r="AH87" s="136">
        <f t="shared" si="54"/>
        <v>0.88405401298682296</v>
      </c>
      <c r="AI87" s="137">
        <f t="shared" si="54"/>
        <v>1.0029908043277349</v>
      </c>
      <c r="AJ87" s="452">
        <f t="shared" ref="AJ87:AL87" si="55">AJ83/AJ86</f>
        <v>0.9986712838078371</v>
      </c>
      <c r="AK87" s="136">
        <f t="shared" si="55"/>
        <v>1.1678682190813716</v>
      </c>
      <c r="AL87" s="136">
        <f t="shared" si="55"/>
        <v>1.0087832486788917</v>
      </c>
    </row>
    <row r="88" spans="1:38" ht="16.5" thickBot="1" x14ac:dyDescent="0.3">
      <c r="A88" s="48"/>
      <c r="B88" s="49"/>
      <c r="C88" s="138"/>
      <c r="D88" s="138"/>
      <c r="E88" s="139"/>
      <c r="F88" s="138"/>
      <c r="G88" s="138"/>
      <c r="H88" s="139"/>
      <c r="I88" s="241"/>
      <c r="J88" s="241"/>
      <c r="K88" s="242"/>
      <c r="L88" s="138"/>
      <c r="M88" s="138"/>
      <c r="N88" s="139"/>
      <c r="O88" s="138"/>
      <c r="P88" s="138"/>
      <c r="Q88" s="139"/>
      <c r="R88" s="367"/>
      <c r="S88" s="367"/>
      <c r="T88" s="368"/>
      <c r="U88" s="438"/>
      <c r="V88" s="438"/>
      <c r="W88" s="439"/>
      <c r="X88" s="138"/>
      <c r="Y88" s="138"/>
      <c r="Z88" s="139"/>
      <c r="AA88" s="138"/>
      <c r="AB88" s="138"/>
      <c r="AC88" s="139"/>
      <c r="AD88" s="138"/>
      <c r="AE88" s="138"/>
      <c r="AF88" s="139"/>
      <c r="AG88" s="138"/>
      <c r="AH88" s="138"/>
      <c r="AI88" s="139"/>
      <c r="AJ88" s="138"/>
      <c r="AK88" s="138"/>
      <c r="AL88" s="139"/>
    </row>
    <row r="89" spans="1:38" x14ac:dyDescent="0.25">
      <c r="A89" s="50" t="s">
        <v>82</v>
      </c>
      <c r="B89" s="51" t="s">
        <v>19</v>
      </c>
      <c r="C89" s="140"/>
      <c r="D89" s="140"/>
      <c r="E89" s="141">
        <f>IF(E83&lt;=E86*E82,E83,E86*E82)</f>
        <v>406196.36034798977</v>
      </c>
      <c r="F89" s="140"/>
      <c r="G89" s="140"/>
      <c r="H89" s="141">
        <f>IF(H83&lt;=H86*H82,H83,H86*H82)</f>
        <v>6607003.6861765683</v>
      </c>
      <c r="I89" s="243"/>
      <c r="J89" s="243"/>
      <c r="K89" s="244">
        <f>IF(K83&lt;=K86*K82,K83,K86*K82)</f>
        <v>302252.99548345123</v>
      </c>
      <c r="L89" s="140"/>
      <c r="M89" s="140"/>
      <c r="N89" s="141">
        <f>IF(N83&lt;=N86*N82,N83,N86*N82)</f>
        <v>1258130.6480927861</v>
      </c>
      <c r="O89" s="140"/>
      <c r="P89" s="140"/>
      <c r="Q89" s="280">
        <f>IF(Q83&lt;=Q86*Q82,Q83,Q86*Q82)</f>
        <v>712030.04158000008</v>
      </c>
      <c r="R89" s="369"/>
      <c r="S89" s="369"/>
      <c r="T89" s="370">
        <f>IF(T83&lt;=T86*T82,T83,T86*T82)</f>
        <v>321254.79980323219</v>
      </c>
      <c r="U89" s="416"/>
      <c r="V89" s="416"/>
      <c r="W89" s="385">
        <f>IF(W83&lt;=W86*W82,W83,W86*W82)</f>
        <v>3249851.0873790057</v>
      </c>
      <c r="X89" s="140"/>
      <c r="Y89" s="140"/>
      <c r="Z89" s="141">
        <f>IF(Z83&lt;=Z86*Z82,Z83,Z86*Z82)</f>
        <v>441507.88093952398</v>
      </c>
      <c r="AA89" s="140"/>
      <c r="AB89" s="140"/>
      <c r="AC89" s="141">
        <f>IF(AC83&lt;=AC86*AC82,AC83,AC86*AC82)</f>
        <v>6065870.5063239587</v>
      </c>
      <c r="AD89" s="140"/>
      <c r="AE89" s="140"/>
      <c r="AF89" s="141">
        <f>IF(AF83&lt;=AF86*AF82,AF83,AF86*AF82)</f>
        <v>1494028.4993946473</v>
      </c>
      <c r="AG89" s="140"/>
      <c r="AH89" s="140"/>
      <c r="AI89" s="141">
        <f>IF(AI83&lt;=AI86*AI82,AI83,AI86*AI82)</f>
        <v>220288.49519960344</v>
      </c>
      <c r="AJ89" s="140"/>
      <c r="AK89" s="140"/>
      <c r="AL89" s="141"/>
    </row>
    <row r="90" spans="1:38" ht="16.5" thickBot="1" x14ac:dyDescent="0.3">
      <c r="A90" s="52" t="s">
        <v>83</v>
      </c>
      <c r="B90" s="53" t="s">
        <v>19</v>
      </c>
      <c r="C90" s="99"/>
      <c r="D90" s="99"/>
      <c r="E90" s="142">
        <f>E83-E89</f>
        <v>0</v>
      </c>
      <c r="F90" s="99"/>
      <c r="G90" s="99"/>
      <c r="H90" s="142">
        <f>H83-H89</f>
        <v>0</v>
      </c>
      <c r="I90" s="204"/>
      <c r="J90" s="204"/>
      <c r="K90" s="245">
        <f>K83-K89</f>
        <v>0</v>
      </c>
      <c r="L90" s="99"/>
      <c r="M90" s="99"/>
      <c r="N90" s="142">
        <f>N83-N89</f>
        <v>0</v>
      </c>
      <c r="O90" s="99"/>
      <c r="P90" s="99"/>
      <c r="Q90" s="142">
        <f>Q83-Q89</f>
        <v>4.1794889839366078E-3</v>
      </c>
      <c r="R90" s="328"/>
      <c r="S90" s="328"/>
      <c r="T90" s="371">
        <f>T83-T89</f>
        <v>0</v>
      </c>
      <c r="U90" s="416"/>
      <c r="V90" s="416"/>
      <c r="W90" s="385">
        <f>W83-W89</f>
        <v>0</v>
      </c>
      <c r="X90" s="99"/>
      <c r="Y90" s="99"/>
      <c r="Z90" s="142">
        <f>Z83-Z89</f>
        <v>0</v>
      </c>
      <c r="AA90" s="99"/>
      <c r="AB90" s="99"/>
      <c r="AC90" s="142">
        <f>AC83-AC89</f>
        <v>0</v>
      </c>
      <c r="AD90" s="99"/>
      <c r="AE90" s="99"/>
      <c r="AF90" s="142">
        <f>AF83-AF89</f>
        <v>0</v>
      </c>
      <c r="AG90" s="99"/>
      <c r="AH90" s="99"/>
      <c r="AI90" s="142">
        <f>AI83-AI89</f>
        <v>0</v>
      </c>
      <c r="AJ90" s="99"/>
      <c r="AK90" s="99"/>
      <c r="AL90" s="142"/>
    </row>
    <row r="91" spans="1:38" x14ac:dyDescent="0.25">
      <c r="A91" s="48"/>
      <c r="B91"/>
      <c r="C91" s="143"/>
      <c r="D91" s="143"/>
      <c r="E91" s="144"/>
      <c r="F91" s="143"/>
      <c r="G91" s="143"/>
      <c r="H91" s="144"/>
      <c r="K91" s="246"/>
      <c r="L91" s="143"/>
      <c r="M91" s="143"/>
      <c r="N91" s="144"/>
      <c r="O91" s="143"/>
      <c r="P91" s="143"/>
      <c r="Q91" s="144"/>
      <c r="R91" s="372"/>
      <c r="S91" s="372"/>
      <c r="T91" s="373"/>
      <c r="W91" s="440"/>
      <c r="X91" s="143"/>
      <c r="Y91" s="143"/>
      <c r="Z91" s="144"/>
      <c r="AA91" s="143"/>
      <c r="AB91" s="143"/>
      <c r="AC91" s="144"/>
      <c r="AD91" s="143"/>
      <c r="AE91" s="143"/>
      <c r="AF91" s="144"/>
      <c r="AG91" s="143"/>
      <c r="AH91" s="143"/>
      <c r="AI91" s="144"/>
      <c r="AJ91" s="143"/>
      <c r="AK91" s="143"/>
      <c r="AL91" s="144"/>
    </row>
    <row r="92" spans="1:38" ht="19.5" thickBot="1" x14ac:dyDescent="0.35">
      <c r="A92" s="31" t="s">
        <v>84</v>
      </c>
      <c r="B92"/>
      <c r="C92" s="128"/>
      <c r="D92" s="89"/>
      <c r="E92" s="144"/>
      <c r="F92" s="128"/>
      <c r="G92" s="89"/>
      <c r="H92" s="144"/>
      <c r="I92" s="231"/>
      <c r="J92" s="36"/>
      <c r="K92" s="246"/>
      <c r="L92" s="128"/>
      <c r="M92" s="89"/>
      <c r="N92" s="144"/>
      <c r="O92" s="128"/>
      <c r="P92" s="89"/>
      <c r="Q92" s="144"/>
      <c r="R92" s="355"/>
      <c r="S92" s="319"/>
      <c r="T92" s="373"/>
      <c r="U92" s="430"/>
      <c r="V92" s="407"/>
      <c r="W92" s="440"/>
      <c r="X92" s="128"/>
      <c r="Y92" s="89"/>
      <c r="Z92" s="144"/>
      <c r="AA92" s="128"/>
      <c r="AB92" s="89"/>
      <c r="AC92" s="144"/>
      <c r="AD92" s="128"/>
      <c r="AE92" s="89"/>
      <c r="AF92" s="144"/>
      <c r="AG92" s="128"/>
      <c r="AH92" s="89"/>
      <c r="AI92" s="144"/>
      <c r="AJ92" s="128"/>
      <c r="AK92" s="89"/>
      <c r="AL92" s="144"/>
    </row>
    <row r="93" spans="1:38" ht="18.75" x14ac:dyDescent="0.25">
      <c r="A93" s="54" t="s">
        <v>85</v>
      </c>
      <c r="B93"/>
      <c r="C93" s="140"/>
      <c r="D93" s="140"/>
      <c r="E93" s="145"/>
      <c r="F93" s="140"/>
      <c r="G93" s="140"/>
      <c r="H93" s="145"/>
      <c r="I93" s="243"/>
      <c r="J93" s="243"/>
      <c r="K93" s="247"/>
      <c r="L93" s="140"/>
      <c r="M93" s="140"/>
      <c r="N93" s="145"/>
      <c r="O93" s="140"/>
      <c r="P93" s="140"/>
      <c r="Q93" s="145"/>
      <c r="R93" s="369"/>
      <c r="S93" s="369"/>
      <c r="T93" s="374"/>
      <c r="U93" s="416"/>
      <c r="V93" s="416"/>
      <c r="W93" s="413"/>
      <c r="X93" s="140"/>
      <c r="Y93" s="140"/>
      <c r="Z93" s="145"/>
      <c r="AA93" s="140"/>
      <c r="AB93" s="140"/>
      <c r="AC93" s="145"/>
      <c r="AD93" s="140"/>
      <c r="AE93" s="140"/>
      <c r="AF93" s="145"/>
      <c r="AG93" s="140"/>
      <c r="AH93" s="140"/>
      <c r="AI93" s="145"/>
      <c r="AJ93" s="140"/>
      <c r="AK93" s="140"/>
      <c r="AL93" s="145"/>
    </row>
    <row r="94" spans="1:38" ht="19.5" thickBot="1" x14ac:dyDescent="0.3">
      <c r="A94" s="55" t="s">
        <v>86</v>
      </c>
      <c r="B94"/>
      <c r="C94" s="99"/>
      <c r="D94" s="99"/>
      <c r="E94" s="146"/>
      <c r="F94" s="99"/>
      <c r="G94" s="99"/>
      <c r="H94" s="146"/>
      <c r="I94" s="204"/>
      <c r="J94" s="204"/>
      <c r="K94" s="248"/>
      <c r="L94" s="99"/>
      <c r="M94" s="99"/>
      <c r="N94" s="146"/>
      <c r="O94" s="99"/>
      <c r="P94" s="99"/>
      <c r="Q94" s="146"/>
      <c r="R94" s="328"/>
      <c r="S94" s="328"/>
      <c r="T94" s="375"/>
      <c r="U94" s="416"/>
      <c r="V94" s="416"/>
      <c r="W94" s="413"/>
      <c r="X94" s="99"/>
      <c r="Y94" s="99"/>
      <c r="Z94" s="146"/>
      <c r="AA94" s="99"/>
      <c r="AB94" s="99"/>
      <c r="AC94" s="146"/>
      <c r="AD94" s="99"/>
      <c r="AE94" s="99"/>
      <c r="AF94" s="146"/>
      <c r="AG94" s="99"/>
      <c r="AH94" s="99"/>
      <c r="AI94" s="146"/>
      <c r="AJ94" s="99"/>
      <c r="AK94" s="99"/>
      <c r="AL94" s="146"/>
    </row>
    <row r="95" spans="1:38" ht="16.5" thickBot="1" x14ac:dyDescent="0.3">
      <c r="A95" s="56"/>
      <c r="B95"/>
      <c r="C95" s="143"/>
      <c r="D95" s="143"/>
      <c r="E95" s="147"/>
      <c r="F95" s="143"/>
      <c r="G95" s="143"/>
      <c r="H95" s="147"/>
      <c r="K95" s="249"/>
      <c r="L95" s="143"/>
      <c r="M95" s="143"/>
      <c r="N95" s="147"/>
      <c r="O95" s="143"/>
      <c r="P95" s="143"/>
      <c r="Q95" s="147"/>
      <c r="R95" s="372"/>
      <c r="S95" s="372"/>
      <c r="T95" s="376"/>
      <c r="W95" s="441"/>
      <c r="X95" s="143"/>
      <c r="Y95" s="143"/>
      <c r="Z95" s="147"/>
      <c r="AA95" s="143"/>
      <c r="AB95" s="143"/>
      <c r="AC95" s="147"/>
      <c r="AD95" s="143"/>
      <c r="AE95" s="143"/>
      <c r="AF95" s="147"/>
      <c r="AG95" s="143"/>
      <c r="AH95" s="143"/>
      <c r="AI95" s="147"/>
      <c r="AJ95" s="143"/>
      <c r="AK95" s="143"/>
      <c r="AL95" s="147"/>
    </row>
    <row r="96" spans="1:38" ht="16.5" thickBot="1" x14ac:dyDescent="0.3">
      <c r="A96" s="57" t="s">
        <v>87</v>
      </c>
      <c r="B96" s="58" t="s">
        <v>3</v>
      </c>
      <c r="C96" s="148"/>
      <c r="D96" s="148"/>
      <c r="E96" s="149">
        <f>C96+D96</f>
        <v>0</v>
      </c>
      <c r="F96" s="148"/>
      <c r="G96" s="148"/>
      <c r="H96" s="149">
        <f>F96+G96</f>
        <v>0</v>
      </c>
      <c r="I96" s="250"/>
      <c r="J96" s="250"/>
      <c r="K96" s="251">
        <f>I96+J96</f>
        <v>0</v>
      </c>
      <c r="L96" s="148"/>
      <c r="M96" s="148"/>
      <c r="N96" s="149">
        <f>L96+M96</f>
        <v>0</v>
      </c>
      <c r="O96" s="148"/>
      <c r="P96" s="148"/>
      <c r="Q96" s="149">
        <f>O96+P96</f>
        <v>0</v>
      </c>
      <c r="R96" s="377"/>
      <c r="S96" s="377"/>
      <c r="T96" s="378">
        <f>R96+S96</f>
        <v>0</v>
      </c>
      <c r="U96" s="442"/>
      <c r="V96" s="442"/>
      <c r="W96" s="397">
        <f>U96+V96</f>
        <v>0</v>
      </c>
      <c r="X96" s="148"/>
      <c r="Y96" s="148"/>
      <c r="Z96" s="149">
        <f>X96+Y96</f>
        <v>0</v>
      </c>
      <c r="AA96" s="148"/>
      <c r="AB96" s="148"/>
      <c r="AC96" s="149">
        <f>AA96+AB96</f>
        <v>0</v>
      </c>
      <c r="AD96" s="148"/>
      <c r="AE96" s="148"/>
      <c r="AF96" s="149">
        <f>AD96+AE96</f>
        <v>0</v>
      </c>
      <c r="AG96" s="148"/>
      <c r="AH96" s="148"/>
      <c r="AI96" s="149">
        <f>AG96+AH96</f>
        <v>0</v>
      </c>
      <c r="AJ96" s="148"/>
      <c r="AK96" s="148"/>
      <c r="AL96" s="149"/>
    </row>
    <row r="98" spans="1:38" x14ac:dyDescent="0.25">
      <c r="A98" s="471" t="s">
        <v>88</v>
      </c>
      <c r="B98" s="472"/>
      <c r="C98" s="473">
        <f t="shared" ref="C98:H98" si="56">C87-1</f>
        <v>-5.1202524009835715E-3</v>
      </c>
      <c r="D98" s="473">
        <f t="shared" si="56"/>
        <v>-5.7169346733668247E-2</v>
      </c>
      <c r="E98" s="473">
        <f t="shared" si="56"/>
        <v>-7.6506851522745167E-3</v>
      </c>
      <c r="F98" s="474">
        <f t="shared" si="56"/>
        <v>1.7513441366396876E-3</v>
      </c>
      <c r="G98" s="473">
        <f t="shared" si="56"/>
        <v>0.81032871082199853</v>
      </c>
      <c r="H98" s="473">
        <f t="shared" si="56"/>
        <v>4.5003564457651635E-2</v>
      </c>
      <c r="I98" s="475">
        <f>I87-1</f>
        <v>-1.107672574367613E-2</v>
      </c>
      <c r="J98" s="475">
        <f>J87-1</f>
        <v>0.34782226727487764</v>
      </c>
      <c r="K98" s="475">
        <f>K87-1</f>
        <v>1.7529256355753864E-2</v>
      </c>
      <c r="L98" s="473">
        <f t="shared" ref="L98:N98" si="57">L87-1</f>
        <v>5.1150937497486337E-2</v>
      </c>
      <c r="M98" s="473">
        <f t="shared" si="57"/>
        <v>6.7048769355939175E-2</v>
      </c>
      <c r="N98" s="473">
        <f t="shared" si="57"/>
        <v>5.2035222639870371E-2</v>
      </c>
      <c r="O98" s="473">
        <f>O87-1</f>
        <v>8.5160794878266222E-2</v>
      </c>
      <c r="P98" s="473">
        <f t="shared" ref="P98:Q98" si="58">P87-1</f>
        <v>-0.29477465613675635</v>
      </c>
      <c r="Q98" s="473">
        <f t="shared" si="58"/>
        <v>6.600000625722946E-2</v>
      </c>
      <c r="R98" s="476">
        <f t="shared" ref="R98:W98" si="59">R87-1</f>
        <v>1.5381249787493001E-2</v>
      </c>
      <c r="S98" s="476">
        <f t="shared" si="59"/>
        <v>0.2441456487421918</v>
      </c>
      <c r="T98" s="476">
        <f t="shared" si="59"/>
        <v>3.7997071367677382E-2</v>
      </c>
      <c r="U98" s="477">
        <f t="shared" si="59"/>
        <v>6.8578998800760793E-2</v>
      </c>
      <c r="V98" s="477">
        <f t="shared" si="59"/>
        <v>-7.1215193798449539E-2</v>
      </c>
      <c r="W98" s="477">
        <f t="shared" si="59"/>
        <v>6.5622424929692169E-2</v>
      </c>
      <c r="X98" s="474">
        <f t="shared" ref="X98:AL98" si="60">X87-1</f>
        <v>1.5482488141058903E-2</v>
      </c>
      <c r="Y98" s="473">
        <f t="shared" si="60"/>
        <v>1.5942425750788081E-2</v>
      </c>
      <c r="Z98" s="473">
        <f t="shared" si="60"/>
        <v>1.5495239883809964E-2</v>
      </c>
      <c r="AA98" s="473">
        <f t="shared" si="60"/>
        <v>-6.5796269672437013E-2</v>
      </c>
      <c r="AB98" s="473">
        <f t="shared" si="60"/>
        <v>-0.1131748717941331</v>
      </c>
      <c r="AC98" s="473">
        <f t="shared" si="60"/>
        <v>-6.9982707775498421E-2</v>
      </c>
      <c r="AD98" s="473">
        <f t="shared" si="60"/>
        <v>1.9029376191265879E-2</v>
      </c>
      <c r="AE98" s="473">
        <f t="shared" si="60"/>
        <v>1.5972514460503184E-2</v>
      </c>
      <c r="AF98" s="473">
        <f t="shared" si="60"/>
        <v>1.8938270203762153E-2</v>
      </c>
      <c r="AG98" s="473">
        <f t="shared" si="60"/>
        <v>2.9167311247540129E-2</v>
      </c>
      <c r="AH98" s="473">
        <f t="shared" si="60"/>
        <v>-0.11594598701317704</v>
      </c>
      <c r="AI98" s="473">
        <f t="shared" si="60"/>
        <v>2.9908043277349083E-3</v>
      </c>
      <c r="AJ98" s="473">
        <f>AJ87-1</f>
        <v>-1.3287161921629043E-3</v>
      </c>
      <c r="AK98" s="473">
        <f t="shared" si="60"/>
        <v>0.16786821908137162</v>
      </c>
      <c r="AL98" s="473">
        <f t="shared" si="60"/>
        <v>8.7832486788916864E-3</v>
      </c>
    </row>
    <row r="99" spans="1:38" x14ac:dyDescent="0.25">
      <c r="U99" s="453"/>
      <c r="W99" s="453"/>
      <c r="Y99" s="282"/>
    </row>
    <row r="100" spans="1:38" s="470" customFormat="1" ht="15" thickBot="1" x14ac:dyDescent="0.25">
      <c r="A100" s="468" t="s">
        <v>118</v>
      </c>
      <c r="B100" s="469"/>
      <c r="C100" s="469"/>
      <c r="D100" s="469"/>
      <c r="E100" s="469">
        <f>E52/E84</f>
        <v>0.84381915202319424</v>
      </c>
      <c r="F100" s="469"/>
      <c r="G100" s="469"/>
      <c r="H100" s="469">
        <f>H52/H84</f>
        <v>0.88256809134657788</v>
      </c>
      <c r="I100" s="469"/>
      <c r="J100" s="469"/>
      <c r="K100" s="469">
        <f>K52/K84</f>
        <v>0.85033080286195706</v>
      </c>
      <c r="L100" s="469"/>
      <c r="M100" s="469"/>
      <c r="N100" s="469">
        <f>N52/N84</f>
        <v>0.86036433526182221</v>
      </c>
      <c r="O100" s="469"/>
      <c r="P100" s="469"/>
      <c r="Q100" s="469">
        <f>Q52/Q84</f>
        <v>0.9510597535485853</v>
      </c>
      <c r="R100" s="469"/>
      <c r="S100" s="469"/>
      <c r="T100" s="469">
        <f>T52/T84</f>
        <v>0.8725006116065227</v>
      </c>
      <c r="U100" s="469"/>
      <c r="V100" s="469"/>
      <c r="W100" s="469">
        <f>W52/W84</f>
        <v>0.91812069160097853</v>
      </c>
      <c r="X100" s="469"/>
      <c r="Y100" s="469"/>
      <c r="Z100" s="469">
        <f>Z52/Z84</f>
        <v>0.83641746716757637</v>
      </c>
      <c r="AA100" s="469"/>
      <c r="AB100" s="469"/>
      <c r="AC100" s="469">
        <f>AC52/AC84</f>
        <v>0.83604127422741004</v>
      </c>
      <c r="AD100" s="469"/>
      <c r="AE100" s="469"/>
      <c r="AF100" s="469">
        <f>AF52/AF84</f>
        <v>0.91378332124809336</v>
      </c>
      <c r="AG100" s="469"/>
      <c r="AH100" s="469"/>
      <c r="AI100" s="469">
        <f>AI52/AI84</f>
        <v>0.88045383061452243</v>
      </c>
      <c r="AJ100" s="469"/>
      <c r="AK100" s="469"/>
      <c r="AL100" s="469"/>
    </row>
    <row r="101" spans="1:38" x14ac:dyDescent="0.25">
      <c r="O101" s="281"/>
      <c r="U101" s="453"/>
    </row>
    <row r="102" spans="1:38" x14ac:dyDescent="0.25">
      <c r="A102" s="3" t="s">
        <v>117</v>
      </c>
      <c r="O102" s="281"/>
      <c r="P102" s="282"/>
      <c r="U102" s="454"/>
    </row>
    <row r="103" spans="1:38" hidden="1" x14ac:dyDescent="0.25">
      <c r="A103" s="458" t="s">
        <v>109</v>
      </c>
      <c r="C103" s="457">
        <f>C16</f>
        <v>-36102.267001280561</v>
      </c>
      <c r="D103" s="457">
        <f>D16</f>
        <v>0</v>
      </c>
      <c r="E103" s="457">
        <f>C103+D103</f>
        <v>-36102.267001280561</v>
      </c>
      <c r="F103" s="457">
        <f>F16</f>
        <v>-266034.40135963634</v>
      </c>
      <c r="G103" s="457">
        <f>G21</f>
        <v>0</v>
      </c>
      <c r="H103" s="457">
        <f>F103+G103</f>
        <v>-266034.40135963634</v>
      </c>
      <c r="I103" s="457">
        <f>I16</f>
        <v>-14525.177232014301</v>
      </c>
      <c r="J103" s="457">
        <f>J16</f>
        <v>0</v>
      </c>
      <c r="K103" s="457">
        <f>I103+J103</f>
        <v>-14525.177232014301</v>
      </c>
      <c r="L103" s="457">
        <f>L16</f>
        <v>-92463.490803028777</v>
      </c>
      <c r="M103" s="457">
        <f>M16</f>
        <v>0</v>
      </c>
      <c r="N103" s="457">
        <f>L103+M103</f>
        <v>-92463.490803028777</v>
      </c>
      <c r="O103" s="457">
        <f>O16</f>
        <v>-1691.3086651117658</v>
      </c>
      <c r="P103" s="457">
        <f>P16</f>
        <v>0</v>
      </c>
      <c r="Q103" s="457">
        <f>O103+P103</f>
        <v>-1691.3086651117658</v>
      </c>
      <c r="R103" s="457">
        <f>R16</f>
        <v>-18784.831611767557</v>
      </c>
      <c r="S103" s="457">
        <f>S16</f>
        <v>0</v>
      </c>
      <c r="T103" s="457">
        <f>R103+S103</f>
        <v>-18784.831611767557</v>
      </c>
      <c r="U103" s="457">
        <f>U16</f>
        <v>-122505.96857095401</v>
      </c>
      <c r="V103" s="457">
        <f>V16</f>
        <v>0</v>
      </c>
      <c r="W103" s="457">
        <f>U103+V103</f>
        <v>-122505.96857095401</v>
      </c>
      <c r="X103" s="457">
        <f>X16</f>
        <v>-24786.140121349777</v>
      </c>
      <c r="Y103" s="457">
        <f>Y16</f>
        <v>0</v>
      </c>
      <c r="Z103" s="457">
        <f>X103+Y103</f>
        <v>-24786.140121349777</v>
      </c>
      <c r="AA103" s="457">
        <f>AA16</f>
        <v>-201113.78326070061</v>
      </c>
      <c r="AB103" s="457">
        <f>AB16</f>
        <v>0</v>
      </c>
      <c r="AC103" s="457">
        <f>AA103+AB103</f>
        <v>-201113.78326070061</v>
      </c>
      <c r="AD103" s="457">
        <f>AD16</f>
        <v>-98983.103558987612</v>
      </c>
      <c r="AE103" s="457">
        <f>AE16</f>
        <v>0</v>
      </c>
      <c r="AF103" s="457">
        <f>AD103+AE103</f>
        <v>-98983.103558987612</v>
      </c>
      <c r="AG103" s="457">
        <f>AG16</f>
        <v>-4067.1458534907911</v>
      </c>
      <c r="AH103" s="457">
        <f>AH16</f>
        <v>0</v>
      </c>
      <c r="AI103" s="457">
        <f>AG103+AH103</f>
        <v>-4067.1458534907911</v>
      </c>
    </row>
    <row r="104" spans="1:38" hidden="1" x14ac:dyDescent="0.25">
      <c r="A104" s="458" t="s">
        <v>110</v>
      </c>
      <c r="C104" s="457">
        <f>C39</f>
        <v>38087.20641866613</v>
      </c>
      <c r="D104" s="457">
        <f>D39</f>
        <v>0</v>
      </c>
      <c r="E104" s="457">
        <f>C104+D104</f>
        <v>38087.20641866613</v>
      </c>
      <c r="F104" s="457">
        <f>F39</f>
        <v>345779.2023748639</v>
      </c>
      <c r="G104" s="457">
        <f>G54</f>
        <v>612253.16999999993</v>
      </c>
      <c r="H104" s="457">
        <f>F104+G104</f>
        <v>958032.37237486383</v>
      </c>
      <c r="I104" s="457">
        <f>I39</f>
        <v>21421.124093553801</v>
      </c>
      <c r="J104" s="457">
        <f>J39</f>
        <v>0</v>
      </c>
      <c r="K104" s="457">
        <f>I104+J104</f>
        <v>21421.124093553801</v>
      </c>
      <c r="L104" s="457">
        <f>L39</f>
        <v>115289.74142307352</v>
      </c>
      <c r="M104" s="457">
        <f>M39</f>
        <v>0</v>
      </c>
      <c r="N104" s="457">
        <f>L104+M104</f>
        <v>115289.74142307352</v>
      </c>
      <c r="O104" s="457">
        <f>O39</f>
        <v>45751.702143764967</v>
      </c>
      <c r="P104" s="457">
        <f>P39</f>
        <v>0</v>
      </c>
      <c r="Q104" s="457">
        <f>O104+P104</f>
        <v>45751.702143764967</v>
      </c>
      <c r="R104" s="457">
        <f>R39</f>
        <v>19191.448080988645</v>
      </c>
      <c r="S104" s="457">
        <f>S39</f>
        <v>0</v>
      </c>
      <c r="T104" s="457">
        <f>R104+S104</f>
        <v>19191.448080988645</v>
      </c>
      <c r="U104" s="457">
        <f>U39</f>
        <v>256291.99491188</v>
      </c>
      <c r="V104" s="457">
        <f>V39</f>
        <v>0</v>
      </c>
      <c r="W104" s="457">
        <f>U104+V104</f>
        <v>256291.99491188</v>
      </c>
      <c r="X104" s="457">
        <f>X39</f>
        <v>33374.809417533965</v>
      </c>
      <c r="Y104" s="457">
        <f>Y39</f>
        <v>0</v>
      </c>
      <c r="Z104" s="457">
        <f>X104+Y104</f>
        <v>33374.809417533965</v>
      </c>
      <c r="AA104" s="457">
        <f>AA39</f>
        <v>142182.3876011807</v>
      </c>
      <c r="AB104" s="457">
        <f>AB39</f>
        <v>0</v>
      </c>
      <c r="AC104" s="457">
        <f>AA104+AB104</f>
        <v>142182.3876011807</v>
      </c>
      <c r="AD104" s="457">
        <f>AD39</f>
        <v>105579.62556088268</v>
      </c>
      <c r="AE104" s="457">
        <f>AE39</f>
        <v>0</v>
      </c>
      <c r="AF104" s="457">
        <f>AD104+AE104</f>
        <v>105579.62556088268</v>
      </c>
      <c r="AG104" s="457">
        <f>AG39</f>
        <v>10784.56208310552</v>
      </c>
      <c r="AH104" s="457">
        <f>AH39</f>
        <v>0</v>
      </c>
      <c r="AI104" s="457">
        <f>AG104+AH104</f>
        <v>10784.56208310552</v>
      </c>
    </row>
    <row r="105" spans="1:38" ht="15" x14ac:dyDescent="0.25">
      <c r="A105" s="462" t="s">
        <v>114</v>
      </c>
      <c r="B105" s="464"/>
      <c r="C105" s="464">
        <f>C52</f>
        <v>271398.39768437197</v>
      </c>
      <c r="D105" s="464">
        <f>D52</f>
        <v>0</v>
      </c>
      <c r="E105" s="464">
        <f>C105+D105</f>
        <v>271398.39768437197</v>
      </c>
      <c r="F105" s="464">
        <f>F52</f>
        <v>3881915.7351577114</v>
      </c>
      <c r="G105" s="464">
        <f>G52</f>
        <v>0</v>
      </c>
      <c r="H105" s="464">
        <f>F105+G105</f>
        <v>3881915.7351577114</v>
      </c>
      <c r="I105" s="464">
        <f>I52</f>
        <v>193241.43692510232</v>
      </c>
      <c r="J105" s="464">
        <f>J52</f>
        <v>2469</v>
      </c>
      <c r="K105" s="464">
        <f>I105+J105</f>
        <v>195710.43692510232</v>
      </c>
      <c r="L105" s="464">
        <f>L52</f>
        <v>735706.14672573679</v>
      </c>
      <c r="M105" s="464">
        <f>M52</f>
        <v>0</v>
      </c>
      <c r="N105" s="464">
        <f>L105+M105</f>
        <v>735706.14672573679</v>
      </c>
      <c r="O105" s="464">
        <f>O52</f>
        <v>506252.91105292615</v>
      </c>
      <c r="P105" s="464">
        <f>P52</f>
        <v>0</v>
      </c>
      <c r="Q105" s="464">
        <f>O105+P105</f>
        <v>506252.91105292615</v>
      </c>
      <c r="R105" s="464">
        <f>R52</f>
        <v>205051.60373731854</v>
      </c>
      <c r="S105" s="464">
        <f>S52</f>
        <v>0</v>
      </c>
      <c r="T105" s="464">
        <f>R105+S105</f>
        <v>205051.60373731854</v>
      </c>
      <c r="U105" s="464">
        <f>U52</f>
        <v>2076050.8353653662</v>
      </c>
      <c r="V105" s="464">
        <f>V52</f>
        <v>0</v>
      </c>
      <c r="W105" s="464">
        <f>U105+V105</f>
        <v>2076050.8353653662</v>
      </c>
      <c r="X105" s="464">
        <f>X52</f>
        <v>301464.09276893939</v>
      </c>
      <c r="Y105" s="464">
        <f>Y52</f>
        <v>0</v>
      </c>
      <c r="Z105" s="464">
        <f>X105+Y105</f>
        <v>301464.09276893939</v>
      </c>
      <c r="AA105" s="464">
        <f>AA52</f>
        <v>3451744.7402075618</v>
      </c>
      <c r="AB105" s="464">
        <f>AB52</f>
        <v>74465</v>
      </c>
      <c r="AC105" s="464">
        <f>AA105+AB105</f>
        <v>3526209.7402075618</v>
      </c>
      <c r="AD105" s="464">
        <f>AD52</f>
        <v>939720.77608639549</v>
      </c>
      <c r="AE105" s="464">
        <f>AE52</f>
        <v>15437</v>
      </c>
      <c r="AF105" s="464">
        <f>AD105+AE105</f>
        <v>955157.77608639549</v>
      </c>
      <c r="AG105" s="464">
        <f>AG52</f>
        <v>134049.97616489165</v>
      </c>
      <c r="AH105" s="464">
        <f>AH52</f>
        <v>0</v>
      </c>
      <c r="AI105" s="464">
        <f>AG105+AH105</f>
        <v>134049.97616489165</v>
      </c>
      <c r="AJ105" s="464">
        <f>AJ52</f>
        <v>12696596.651876321</v>
      </c>
      <c r="AK105" s="464">
        <f>AK52</f>
        <v>92371</v>
      </c>
      <c r="AL105" s="464">
        <f>AJ105+AK105</f>
        <v>12788967.651876321</v>
      </c>
    </row>
    <row r="106" spans="1:38" ht="15" x14ac:dyDescent="0.25">
      <c r="A106" s="462" t="s">
        <v>115</v>
      </c>
      <c r="B106" s="464"/>
      <c r="C106" s="464">
        <f>C54</f>
        <v>116035.63266361777</v>
      </c>
      <c r="D106" s="464">
        <f>D54</f>
        <v>18762.330000000002</v>
      </c>
      <c r="E106" s="464">
        <f>C106+D106</f>
        <v>134797.96266361777</v>
      </c>
      <c r="F106" s="464">
        <f>F54</f>
        <v>2112834.7810188569</v>
      </c>
      <c r="G106" s="464">
        <f>G54</f>
        <v>612253.16999999993</v>
      </c>
      <c r="H106" s="464">
        <f>F106+G106</f>
        <v>2725087.9510188568</v>
      </c>
      <c r="I106" s="464">
        <f>I54</f>
        <v>77100.518558348951</v>
      </c>
      <c r="J106" s="464">
        <f>J54</f>
        <v>29442.04</v>
      </c>
      <c r="K106" s="464">
        <f>I106+J106</f>
        <v>106542.55855834894</v>
      </c>
      <c r="L106" s="464">
        <f>L54</f>
        <v>451444.80136704934</v>
      </c>
      <c r="M106" s="464">
        <f>M54</f>
        <v>70979.7</v>
      </c>
      <c r="N106" s="464">
        <f>L106+M106</f>
        <v>522424.50136704935</v>
      </c>
      <c r="O106" s="464">
        <f>O54</f>
        <v>182021.174706563</v>
      </c>
      <c r="P106" s="464">
        <f>P54</f>
        <v>23755.96</v>
      </c>
      <c r="Q106" s="464">
        <f>O106+P106</f>
        <v>205777.134706563</v>
      </c>
      <c r="R106" s="464">
        <f>R54</f>
        <v>78136.196065913638</v>
      </c>
      <c r="S106" s="464">
        <f>S54</f>
        <v>38067</v>
      </c>
      <c r="T106" s="464">
        <f>R106+S106</f>
        <v>116203.19606591364</v>
      </c>
      <c r="U106" s="464">
        <f>U54</f>
        <v>1113893.6320136392</v>
      </c>
      <c r="V106" s="464">
        <f>V54</f>
        <v>59906.62</v>
      </c>
      <c r="W106" s="464">
        <f>U106+V106</f>
        <v>1173800.2520136393</v>
      </c>
      <c r="X106" s="464">
        <f>X54</f>
        <v>127797.61817058464</v>
      </c>
      <c r="Y106" s="464">
        <f>Y54</f>
        <v>12246.17</v>
      </c>
      <c r="Z106" s="464">
        <f>X106+Y106</f>
        <v>140043.78817058465</v>
      </c>
      <c r="AA106" s="464">
        <f>AA54</f>
        <v>2103029.7061163979</v>
      </c>
      <c r="AB106" s="464">
        <f>AB54</f>
        <v>436631.06</v>
      </c>
      <c r="AC106" s="464">
        <f>AA106+AB106</f>
        <v>2539660.7661163979</v>
      </c>
      <c r="AD106" s="464">
        <f>AD54</f>
        <v>509909.6533082517</v>
      </c>
      <c r="AE106" s="464">
        <f>AE54</f>
        <v>28961.07</v>
      </c>
      <c r="AF106" s="464">
        <f>AD106+AE106</f>
        <v>538870.72330825171</v>
      </c>
      <c r="AG106" s="464">
        <f>AG54</f>
        <v>51213.519034711797</v>
      </c>
      <c r="AH106" s="464">
        <f>AH54</f>
        <v>35025</v>
      </c>
      <c r="AI106" s="464">
        <f>AG106+AH106</f>
        <v>86238.51903471179</v>
      </c>
      <c r="AJ106" s="464">
        <f>AJ54</f>
        <v>6923417.2330239341</v>
      </c>
      <c r="AK106" s="464">
        <f>AK54</f>
        <v>1366030.12</v>
      </c>
      <c r="AL106" s="464">
        <f>AJ106+AK106</f>
        <v>8289447.3530239342</v>
      </c>
    </row>
    <row r="107" spans="1:38" ht="15" x14ac:dyDescent="0.25">
      <c r="A107" s="462" t="s">
        <v>116</v>
      </c>
      <c r="B107" s="464"/>
      <c r="C107" s="464"/>
      <c r="D107" s="464"/>
      <c r="E107" s="464">
        <f>SUM(E105:E106)</f>
        <v>406196.36034798971</v>
      </c>
      <c r="F107" s="464"/>
      <c r="G107" s="464"/>
      <c r="H107" s="464">
        <f>SUM(H105:H106)</f>
        <v>6607003.6861765683</v>
      </c>
      <c r="I107" s="464"/>
      <c r="J107" s="464"/>
      <c r="K107" s="464">
        <f>SUM(K105:K106)</f>
        <v>302252.99548345129</v>
      </c>
      <c r="L107" s="464"/>
      <c r="M107" s="464"/>
      <c r="N107" s="464">
        <f>SUM(N105:N106)</f>
        <v>1258130.6480927861</v>
      </c>
      <c r="O107" s="464"/>
      <c r="P107" s="464"/>
      <c r="Q107" s="464">
        <f>SUM(Q105:Q106)</f>
        <v>712030.04575948918</v>
      </c>
      <c r="R107" s="464"/>
      <c r="S107" s="464"/>
      <c r="T107" s="464">
        <f>SUM(T105:T106)</f>
        <v>321254.79980323219</v>
      </c>
      <c r="U107" s="464"/>
      <c r="V107" s="464"/>
      <c r="W107" s="464">
        <f>SUM(W105:W106)</f>
        <v>3249851.0873790057</v>
      </c>
      <c r="X107" s="464"/>
      <c r="Y107" s="464"/>
      <c r="Z107" s="464">
        <f>SUM(Z105:Z106)</f>
        <v>441507.88093952404</v>
      </c>
      <c r="AA107" s="464"/>
      <c r="AB107" s="464"/>
      <c r="AC107" s="464">
        <f>SUM(AC105:AC106)</f>
        <v>6065870.5063239597</v>
      </c>
      <c r="AD107" s="464"/>
      <c r="AE107" s="464"/>
      <c r="AF107" s="464">
        <f>SUM(AF105:AF106)</f>
        <v>1494028.4993946473</v>
      </c>
      <c r="AG107" s="464"/>
      <c r="AH107" s="464"/>
      <c r="AI107" s="464">
        <f>SUM(AI105:AI106)</f>
        <v>220288.49519960344</v>
      </c>
      <c r="AJ107" s="464"/>
      <c r="AK107" s="464"/>
      <c r="AL107" s="464">
        <f>SUM(AL105:AL106)</f>
        <v>21078415.004900254</v>
      </c>
    </row>
    <row r="108" spans="1:38" x14ac:dyDescent="0.25">
      <c r="AJ108" s="465"/>
    </row>
    <row r="109" spans="1:38" x14ac:dyDescent="0.25">
      <c r="A109" s="3" t="s">
        <v>119</v>
      </c>
    </row>
    <row r="110" spans="1:38" ht="15" x14ac:dyDescent="0.25">
      <c r="A110" s="463" t="s">
        <v>111</v>
      </c>
      <c r="B110" s="463"/>
      <c r="C110" s="463">
        <f>C57</f>
        <v>0</v>
      </c>
      <c r="D110" s="463">
        <f>D57</f>
        <v>0</v>
      </c>
      <c r="E110" s="467">
        <f>C110+D110</f>
        <v>0</v>
      </c>
      <c r="F110" s="479">
        <f>F57</f>
        <v>0</v>
      </c>
      <c r="G110" s="479">
        <f>G57</f>
        <v>550929.28</v>
      </c>
      <c r="H110" s="479">
        <f>F110+G110</f>
        <v>550929.28</v>
      </c>
      <c r="I110" s="479">
        <f>I57</f>
        <v>0</v>
      </c>
      <c r="J110" s="479">
        <f>J57</f>
        <v>0</v>
      </c>
      <c r="K110" s="479">
        <f>I110+J110</f>
        <v>0</v>
      </c>
      <c r="L110" s="479">
        <f>L57</f>
        <v>0</v>
      </c>
      <c r="M110" s="479">
        <f>M57</f>
        <v>16373.23</v>
      </c>
      <c r="N110" s="479">
        <f>L110+M110</f>
        <v>16373.23</v>
      </c>
      <c r="O110" s="479">
        <f>O57</f>
        <v>0</v>
      </c>
      <c r="P110" s="479">
        <f>P57</f>
        <v>21577.94</v>
      </c>
      <c r="Q110" s="502">
        <f>O110+P110</f>
        <v>21577.94</v>
      </c>
      <c r="R110" s="502">
        <f>R57</f>
        <v>0</v>
      </c>
      <c r="S110" s="502">
        <f>S57</f>
        <v>0</v>
      </c>
      <c r="T110" s="502">
        <f>R110+S110</f>
        <v>0</v>
      </c>
      <c r="U110" s="502">
        <f>U57</f>
        <v>0</v>
      </c>
      <c r="V110" s="502">
        <f>V57</f>
        <v>0</v>
      </c>
      <c r="W110" s="502">
        <f>U110+V110</f>
        <v>0</v>
      </c>
      <c r="X110" s="502">
        <f>X57</f>
        <v>0</v>
      </c>
      <c r="Y110" s="502">
        <f>Y57</f>
        <v>0</v>
      </c>
      <c r="Z110" s="502">
        <f>X110+Y110</f>
        <v>0</v>
      </c>
      <c r="AA110" s="502">
        <f>AA57</f>
        <v>0</v>
      </c>
      <c r="AB110" s="502">
        <f>AB57</f>
        <v>280419</v>
      </c>
      <c r="AC110" s="502">
        <f>AA110+AB110</f>
        <v>280419</v>
      </c>
      <c r="AD110" s="502">
        <f>AD57</f>
        <v>0</v>
      </c>
      <c r="AE110" s="502">
        <f>AE57</f>
        <v>0</v>
      </c>
      <c r="AF110" s="502">
        <f>AD110+AE110</f>
        <v>0</v>
      </c>
      <c r="AG110" s="502">
        <f>AG57</f>
        <v>0</v>
      </c>
      <c r="AH110" s="502">
        <f>AH57</f>
        <v>0</v>
      </c>
      <c r="AI110" s="502">
        <f>AG110+AH110</f>
        <v>0</v>
      </c>
      <c r="AJ110" s="502">
        <f t="shared" ref="AJ110:AK112" si="61">AG110+AD110+AA110+X110+U110+R110+O110+L110+I110+F110+C110</f>
        <v>0</v>
      </c>
      <c r="AK110" s="502">
        <f t="shared" si="61"/>
        <v>869299.45</v>
      </c>
      <c r="AL110" s="502">
        <f t="shared" ref="AL110:AL111" si="62">AJ110+AK110</f>
        <v>869299.45</v>
      </c>
    </row>
    <row r="111" spans="1:38" ht="15" x14ac:dyDescent="0.25">
      <c r="A111" s="463" t="s">
        <v>112</v>
      </c>
      <c r="B111" s="463"/>
      <c r="C111" s="467">
        <f>C52-C84</f>
        <v>-50232.602315628028</v>
      </c>
      <c r="D111" s="478">
        <f>D52-D84</f>
        <v>0</v>
      </c>
      <c r="E111" s="503">
        <f t="shared" ref="E111:E112" si="63">C111+D111</f>
        <v>-50232.602315628028</v>
      </c>
      <c r="F111" s="502">
        <f>F52-F84</f>
        <v>-403432.26484228857</v>
      </c>
      <c r="G111" s="502">
        <f>G52-G84</f>
        <v>-113084</v>
      </c>
      <c r="H111" s="502">
        <f>H52-H84</f>
        <v>-516516.26484228857</v>
      </c>
      <c r="I111" s="502">
        <f>I52-I84</f>
        <v>-36916.563074897684</v>
      </c>
      <c r="J111" s="502">
        <f>J52-J84</f>
        <v>2469</v>
      </c>
      <c r="K111" s="502">
        <f t="shared" ref="K111:K112" si="64">I111+J111</f>
        <v>-34447.563074897684</v>
      </c>
      <c r="L111" s="502">
        <f>L52-L84</f>
        <v>-119403.85327426321</v>
      </c>
      <c r="M111" s="502">
        <f>M52-M84</f>
        <v>0</v>
      </c>
      <c r="N111" s="502">
        <f t="shared" ref="N111:N112" si="65">L111+M111</f>
        <v>-119403.85327426321</v>
      </c>
      <c r="O111" s="502">
        <f>O52-O84</f>
        <v>-26051.088947073848</v>
      </c>
      <c r="P111" s="502">
        <f>P52-P84</f>
        <v>0</v>
      </c>
      <c r="Q111" s="502">
        <f t="shared" ref="Q111:Q112" si="66">O111+P111</f>
        <v>-26051.088947073848</v>
      </c>
      <c r="R111" s="502">
        <f>R52-R84</f>
        <v>-29964.396262681461</v>
      </c>
      <c r="S111" s="502">
        <f>S52-S84</f>
        <v>0</v>
      </c>
      <c r="T111" s="502">
        <f t="shared" ref="T111:T112" si="67">R111+S111</f>
        <v>-29964.396262681461</v>
      </c>
      <c r="U111" s="502">
        <f>U52-U84</f>
        <v>-185145.16463463381</v>
      </c>
      <c r="V111" s="502">
        <f>V52-V84</f>
        <v>0</v>
      </c>
      <c r="W111" s="502">
        <f t="shared" ref="W111:W112" si="68">U111+V111</f>
        <v>-185145.16463463381</v>
      </c>
      <c r="X111" s="502">
        <f>X52-X84</f>
        <v>-58958.907231060613</v>
      </c>
      <c r="Y111" s="502">
        <f>Y52-Y84</f>
        <v>0</v>
      </c>
      <c r="Z111" s="502">
        <f t="shared" ref="Z111:Z112" si="69">X111+Y111</f>
        <v>-58958.907231060613</v>
      </c>
      <c r="AA111" s="502">
        <f>AA52-AA84</f>
        <v>-689241.25979243824</v>
      </c>
      <c r="AB111" s="502">
        <f>AB52-AB84</f>
        <v>-2295</v>
      </c>
      <c r="AC111" s="502">
        <f t="shared" ref="AC111:AC112" si="70">AA111+AB111</f>
        <v>-691536.25979243824</v>
      </c>
      <c r="AD111" s="502">
        <f>AD52-AD84</f>
        <v>-162816.22391360451</v>
      </c>
      <c r="AE111" s="502">
        <f>AE52-AE84</f>
        <v>72695.810000000056</v>
      </c>
      <c r="AF111" s="502">
        <f t="shared" ref="AF111:AF112" si="71">AD111+AE111</f>
        <v>-90120.413913604454</v>
      </c>
      <c r="AG111" s="502">
        <f>AG52-AG84</f>
        <v>-18201.023835108354</v>
      </c>
      <c r="AH111" s="502">
        <f>AH52-AH84</f>
        <v>0</v>
      </c>
      <c r="AI111" s="502">
        <f t="shared" ref="AI111:AI112" si="72">AG111+AH111</f>
        <v>-18201.023835108354</v>
      </c>
      <c r="AJ111" s="502">
        <f t="shared" si="61"/>
        <v>-1780363.3481236782</v>
      </c>
      <c r="AK111" s="502">
        <f t="shared" si="61"/>
        <v>-40214.189999999944</v>
      </c>
      <c r="AL111" s="502">
        <f t="shared" si="62"/>
        <v>-1820577.5381236782</v>
      </c>
    </row>
    <row r="112" spans="1:38" thickBot="1" x14ac:dyDescent="0.3">
      <c r="A112" s="463" t="s">
        <v>113</v>
      </c>
      <c r="B112" s="463"/>
      <c r="C112" s="498">
        <f>C54-C85</f>
        <v>48238.632663617769</v>
      </c>
      <c r="D112" s="497">
        <f>D54-D85</f>
        <v>-1137.6699999999983</v>
      </c>
      <c r="E112" s="504">
        <f t="shared" si="63"/>
        <v>47100.962663617771</v>
      </c>
      <c r="F112" s="502">
        <f>F54-F85</f>
        <v>413912.78101885691</v>
      </c>
      <c r="G112" s="502">
        <f>G54-G85</f>
        <v>274053.16999999993</v>
      </c>
      <c r="H112" s="502">
        <f>H54-H85</f>
        <v>687965.95101885684</v>
      </c>
      <c r="I112" s="502">
        <f>I54-I85</f>
        <v>33888.518558348951</v>
      </c>
      <c r="J112" s="502">
        <f>J54-J85</f>
        <v>5766.0400000000009</v>
      </c>
      <c r="K112" s="502">
        <f t="shared" si="64"/>
        <v>39654.558558348952</v>
      </c>
      <c r="L112" s="502">
        <f>L54-L85</f>
        <v>177172.80136704934</v>
      </c>
      <c r="M112" s="502">
        <f>M54-M85</f>
        <v>4460.0599999999977</v>
      </c>
      <c r="N112" s="502">
        <f t="shared" si="65"/>
        <v>181632.86136704934</v>
      </c>
      <c r="O112" s="502">
        <f>O54-O85</f>
        <v>80065.174706563004</v>
      </c>
      <c r="P112" s="502">
        <f>P54-P85</f>
        <v>-9929.6699999999983</v>
      </c>
      <c r="Q112" s="502">
        <f t="shared" si="66"/>
        <v>70135.504706563006</v>
      </c>
      <c r="R112" s="502">
        <f>R54-R85</f>
        <v>34254.196065913638</v>
      </c>
      <c r="S112" s="502">
        <f>S54-S85</f>
        <v>7470.09</v>
      </c>
      <c r="T112" s="502">
        <f t="shared" si="67"/>
        <v>41724.286065913635</v>
      </c>
      <c r="U112" s="502">
        <f>U54-U85</f>
        <v>389868.6320136392</v>
      </c>
      <c r="V112" s="502">
        <f>V54-V85</f>
        <v>-4593.3799999999974</v>
      </c>
      <c r="W112" s="502">
        <f t="shared" si="68"/>
        <v>385275.2520136392</v>
      </c>
      <c r="X112" s="502">
        <f>X54-X85</f>
        <v>65503.618170584639</v>
      </c>
      <c r="Y112" s="502">
        <f>Y54-Y85</f>
        <v>192.17000000000007</v>
      </c>
      <c r="Z112" s="502">
        <f t="shared" si="69"/>
        <v>65695.788170584638</v>
      </c>
      <c r="AA112" s="502">
        <f>AA54-AA85</f>
        <v>298016.70611639787</v>
      </c>
      <c r="AB112" s="502">
        <f>AB54-AB85</f>
        <v>-62930.070000000007</v>
      </c>
      <c r="AC112" s="502">
        <f t="shared" si="70"/>
        <v>235086.63611639786</v>
      </c>
      <c r="AD112" s="502">
        <f>AD54-AD85</f>
        <v>189886.6533082517</v>
      </c>
      <c r="AE112" s="502">
        <f>AE54-AE85</f>
        <v>-14739</v>
      </c>
      <c r="AF112" s="502">
        <f t="shared" si="71"/>
        <v>175147.6533082517</v>
      </c>
      <c r="AG112" s="502">
        <f>AG54-AG85</f>
        <v>23451.519034711797</v>
      </c>
      <c r="AH112" s="502">
        <f>AH54-AH85</f>
        <v>-4593.6200000000026</v>
      </c>
      <c r="AI112" s="502">
        <f t="shared" si="72"/>
        <v>18857.899034711794</v>
      </c>
      <c r="AJ112" s="502">
        <f t="shared" si="61"/>
        <v>1754259.233023935</v>
      </c>
      <c r="AK112" s="502">
        <f t="shared" si="61"/>
        <v>194018.11999999994</v>
      </c>
      <c r="AL112" s="502">
        <f>AJ112+AK112</f>
        <v>1948277.3530239349</v>
      </c>
    </row>
    <row r="113" spans="1:38" x14ac:dyDescent="0.25">
      <c r="A113" s="3" t="s">
        <v>120</v>
      </c>
      <c r="B113" s="466"/>
      <c r="C113" s="517" t="s">
        <v>112</v>
      </c>
      <c r="D113" s="518"/>
      <c r="E113" s="499">
        <f>E111+E110</f>
        <v>-50232.602315628028</v>
      </c>
      <c r="F113" s="517" t="s">
        <v>112</v>
      </c>
      <c r="G113" s="518"/>
      <c r="H113" s="502">
        <f>H111+H110</f>
        <v>34413.015157711459</v>
      </c>
      <c r="I113" s="517" t="s">
        <v>112</v>
      </c>
      <c r="J113" s="518"/>
      <c r="K113" s="502">
        <f>K111+K110</f>
        <v>-34447.563074897684</v>
      </c>
      <c r="L113" s="517" t="s">
        <v>112</v>
      </c>
      <c r="M113" s="518"/>
      <c r="N113" s="502">
        <f>N111+N110</f>
        <v>-103030.62327426321</v>
      </c>
      <c r="O113" s="517" t="s">
        <v>112</v>
      </c>
      <c r="P113" s="518"/>
      <c r="Q113" s="502">
        <f>Q111+Q110</f>
        <v>-4473.1489470738488</v>
      </c>
      <c r="R113" s="517" t="s">
        <v>112</v>
      </c>
      <c r="S113" s="518"/>
      <c r="T113" s="502">
        <f>T111+T110</f>
        <v>-29964.396262681461</v>
      </c>
      <c r="U113" s="517" t="s">
        <v>112</v>
      </c>
      <c r="V113" s="518"/>
      <c r="W113" s="502">
        <f>W111+W110</f>
        <v>-185145.16463463381</v>
      </c>
      <c r="X113" s="517" t="s">
        <v>112</v>
      </c>
      <c r="Y113" s="518"/>
      <c r="Z113" s="502">
        <f>Z111+Z110</f>
        <v>-58958.907231060613</v>
      </c>
      <c r="AA113" s="517" t="s">
        <v>112</v>
      </c>
      <c r="AB113" s="518"/>
      <c r="AC113" s="502">
        <f>AC111+AC110</f>
        <v>-411117.25979243824</v>
      </c>
      <c r="AD113" s="517" t="s">
        <v>112</v>
      </c>
      <c r="AE113" s="518"/>
      <c r="AF113" s="502">
        <f>AF111+AF110</f>
        <v>-90120.413913604454</v>
      </c>
      <c r="AG113" s="517" t="s">
        <v>112</v>
      </c>
      <c r="AH113" s="518"/>
      <c r="AI113" s="502">
        <f>AI111+AI110</f>
        <v>-18201.023835108354</v>
      </c>
      <c r="AJ113" s="517" t="s">
        <v>112</v>
      </c>
      <c r="AK113" s="518"/>
      <c r="AL113" s="502">
        <f>AL111+AL110</f>
        <v>-951278.08812367823</v>
      </c>
    </row>
    <row r="114" spans="1:38" x14ac:dyDescent="0.25">
      <c r="C114" s="519" t="s">
        <v>113</v>
      </c>
      <c r="D114" s="520"/>
      <c r="E114" s="500">
        <f>E112</f>
        <v>47100.962663617771</v>
      </c>
      <c r="F114" s="519" t="s">
        <v>113</v>
      </c>
      <c r="G114" s="520"/>
      <c r="H114" s="502">
        <f>H112</f>
        <v>687965.95101885684</v>
      </c>
      <c r="I114" s="519" t="s">
        <v>113</v>
      </c>
      <c r="J114" s="520"/>
      <c r="K114" s="502">
        <f>K112</f>
        <v>39654.558558348952</v>
      </c>
      <c r="L114" s="519" t="s">
        <v>113</v>
      </c>
      <c r="M114" s="520"/>
      <c r="N114" s="502">
        <f>N112</f>
        <v>181632.86136704934</v>
      </c>
      <c r="O114" s="519" t="s">
        <v>113</v>
      </c>
      <c r="P114" s="520"/>
      <c r="Q114" s="502">
        <f>Q112</f>
        <v>70135.504706563006</v>
      </c>
      <c r="R114" s="519" t="s">
        <v>113</v>
      </c>
      <c r="S114" s="520"/>
      <c r="T114" s="502">
        <f>T112</f>
        <v>41724.286065913635</v>
      </c>
      <c r="U114" s="519" t="s">
        <v>113</v>
      </c>
      <c r="V114" s="520"/>
      <c r="W114" s="502">
        <f>W112</f>
        <v>385275.2520136392</v>
      </c>
      <c r="X114" s="519" t="s">
        <v>113</v>
      </c>
      <c r="Y114" s="520"/>
      <c r="Z114" s="502">
        <f>Z112</f>
        <v>65695.788170584638</v>
      </c>
      <c r="AA114" s="519" t="s">
        <v>113</v>
      </c>
      <c r="AB114" s="520"/>
      <c r="AC114" s="502">
        <f>AC112</f>
        <v>235086.63611639786</v>
      </c>
      <c r="AD114" s="519" t="s">
        <v>113</v>
      </c>
      <c r="AE114" s="520"/>
      <c r="AF114" s="502">
        <f>AF112</f>
        <v>175147.6533082517</v>
      </c>
      <c r="AG114" s="519" t="s">
        <v>113</v>
      </c>
      <c r="AH114" s="520"/>
      <c r="AI114" s="502">
        <f>AI112</f>
        <v>18857.899034711794</v>
      </c>
      <c r="AJ114" s="519" t="s">
        <v>113</v>
      </c>
      <c r="AK114" s="520"/>
      <c r="AL114" s="502">
        <f>AL112</f>
        <v>1948277.3530239349</v>
      </c>
    </row>
    <row r="115" spans="1:38" x14ac:dyDescent="0.25">
      <c r="C115" s="519" t="s">
        <v>121</v>
      </c>
      <c r="D115" s="520"/>
      <c r="E115" s="500">
        <f>E113+E114</f>
        <v>-3131.6396520102571</v>
      </c>
      <c r="F115" s="519" t="s">
        <v>121</v>
      </c>
      <c r="G115" s="520"/>
      <c r="H115" s="502">
        <f>H113+H114</f>
        <v>722378.9661765683</v>
      </c>
      <c r="I115" s="519" t="s">
        <v>121</v>
      </c>
      <c r="J115" s="520"/>
      <c r="K115" s="502">
        <f>K113+K114</f>
        <v>5206.9954834512682</v>
      </c>
      <c r="L115" s="519" t="s">
        <v>121</v>
      </c>
      <c r="M115" s="520"/>
      <c r="N115" s="502">
        <f>N113+N114</f>
        <v>78602.238092786123</v>
      </c>
      <c r="O115" s="519" t="s">
        <v>121</v>
      </c>
      <c r="P115" s="520"/>
      <c r="Q115" s="502">
        <f>Q113+Q114</f>
        <v>65662.355759489161</v>
      </c>
      <c r="R115" s="519" t="s">
        <v>121</v>
      </c>
      <c r="S115" s="520"/>
      <c r="T115" s="502">
        <f>T113+T114</f>
        <v>11759.889803232174</v>
      </c>
      <c r="U115" s="519" t="s">
        <v>121</v>
      </c>
      <c r="V115" s="520"/>
      <c r="W115" s="502">
        <f>W113+W114</f>
        <v>200130.08737900539</v>
      </c>
      <c r="X115" s="519" t="s">
        <v>121</v>
      </c>
      <c r="Y115" s="520"/>
      <c r="Z115" s="502">
        <f>Z113+Z114</f>
        <v>6736.8809395240241</v>
      </c>
      <c r="AA115" s="519" t="s">
        <v>121</v>
      </c>
      <c r="AB115" s="520"/>
      <c r="AC115" s="502">
        <f>AC113+AC114</f>
        <v>-176030.62367604038</v>
      </c>
      <c r="AD115" s="519" t="s">
        <v>121</v>
      </c>
      <c r="AE115" s="520"/>
      <c r="AF115" s="502">
        <f>AF113+AF114</f>
        <v>85027.239394647244</v>
      </c>
      <c r="AG115" s="519" t="s">
        <v>121</v>
      </c>
      <c r="AH115" s="520"/>
      <c r="AI115" s="502">
        <f>AI113+AI114</f>
        <v>656.87519960344071</v>
      </c>
      <c r="AJ115" s="519" t="s">
        <v>121</v>
      </c>
      <c r="AK115" s="520"/>
      <c r="AL115" s="502">
        <f>AL113+AL114</f>
        <v>996999.26490025665</v>
      </c>
    </row>
    <row r="116" spans="1:38" ht="16.5" thickBot="1" x14ac:dyDescent="0.3">
      <c r="C116" s="521" t="s">
        <v>122</v>
      </c>
      <c r="D116" s="522"/>
      <c r="E116" s="501">
        <f>E115/3</f>
        <v>-1043.879884003419</v>
      </c>
      <c r="F116" s="521" t="s">
        <v>122</v>
      </c>
      <c r="G116" s="522"/>
      <c r="H116" s="502">
        <f>H115/3</f>
        <v>240792.98872552277</v>
      </c>
      <c r="I116" s="521" t="s">
        <v>122</v>
      </c>
      <c r="J116" s="522"/>
      <c r="K116" s="502">
        <f>K115/3</f>
        <v>1735.6651611504228</v>
      </c>
      <c r="L116" s="521" t="s">
        <v>122</v>
      </c>
      <c r="M116" s="522"/>
      <c r="N116" s="502">
        <f>N115/3</f>
        <v>26200.746030928709</v>
      </c>
      <c r="O116" s="521" t="s">
        <v>122</v>
      </c>
      <c r="P116" s="522"/>
      <c r="Q116" s="502">
        <f>Q115/3</f>
        <v>21887.45191982972</v>
      </c>
      <c r="R116" s="521" t="s">
        <v>122</v>
      </c>
      <c r="S116" s="522"/>
      <c r="T116" s="502">
        <f>T115/3</f>
        <v>3919.9632677440582</v>
      </c>
      <c r="U116" s="521" t="s">
        <v>122</v>
      </c>
      <c r="V116" s="522"/>
      <c r="W116" s="502">
        <f>W115/3</f>
        <v>66710.029126335125</v>
      </c>
      <c r="X116" s="521" t="s">
        <v>122</v>
      </c>
      <c r="Y116" s="522"/>
      <c r="Z116" s="502">
        <f>Z115/3</f>
        <v>2245.6269798413414</v>
      </c>
      <c r="AA116" s="521" t="s">
        <v>122</v>
      </c>
      <c r="AB116" s="522"/>
      <c r="AC116" s="502">
        <f>AC115/3</f>
        <v>-58676.874558680131</v>
      </c>
      <c r="AD116" s="521" t="s">
        <v>122</v>
      </c>
      <c r="AE116" s="522"/>
      <c r="AF116" s="502">
        <f>AF115/3</f>
        <v>28342.413131549081</v>
      </c>
      <c r="AG116" s="521" t="s">
        <v>122</v>
      </c>
      <c r="AH116" s="522"/>
      <c r="AI116" s="502">
        <f>AI115/3</f>
        <v>218.95839986781357</v>
      </c>
      <c r="AJ116" s="521" t="s">
        <v>122</v>
      </c>
      <c r="AK116" s="522"/>
      <c r="AL116" s="502">
        <f>AL115/3</f>
        <v>332333.08830008557</v>
      </c>
    </row>
    <row r="117" spans="1:38" x14ac:dyDescent="0.25">
      <c r="H117" s="281"/>
    </row>
    <row r="118" spans="1:38" x14ac:dyDescent="0.25">
      <c r="H118" s="281"/>
    </row>
    <row r="119" spans="1:38" x14ac:dyDescent="0.25">
      <c r="H119" s="281"/>
    </row>
    <row r="120" spans="1:38" x14ac:dyDescent="0.25">
      <c r="H120" s="281"/>
    </row>
  </sheetData>
  <mergeCells count="60">
    <mergeCell ref="AG113:AH113"/>
    <mergeCell ref="AG114:AH114"/>
    <mergeCell ref="AG115:AH115"/>
    <mergeCell ref="AG116:AH116"/>
    <mergeCell ref="AJ113:AK113"/>
    <mergeCell ref="AJ114:AK114"/>
    <mergeCell ref="AJ115:AK115"/>
    <mergeCell ref="AJ116:AK116"/>
    <mergeCell ref="AA113:AB113"/>
    <mergeCell ref="AA114:AB114"/>
    <mergeCell ref="AA115:AB115"/>
    <mergeCell ref="AA116:AB116"/>
    <mergeCell ref="AD113:AE113"/>
    <mergeCell ref="AD114:AE114"/>
    <mergeCell ref="AD115:AE115"/>
    <mergeCell ref="AD116:AE116"/>
    <mergeCell ref="U113:V113"/>
    <mergeCell ref="U114:V114"/>
    <mergeCell ref="U115:V115"/>
    <mergeCell ref="U116:V116"/>
    <mergeCell ref="X113:Y113"/>
    <mergeCell ref="X114:Y114"/>
    <mergeCell ref="X115:Y115"/>
    <mergeCell ref="X116:Y116"/>
    <mergeCell ref="O113:P113"/>
    <mergeCell ref="O114:P114"/>
    <mergeCell ref="O115:P115"/>
    <mergeCell ref="O116:P116"/>
    <mergeCell ref="R113:S113"/>
    <mergeCell ref="R114:S114"/>
    <mergeCell ref="R115:S115"/>
    <mergeCell ref="R116:S116"/>
    <mergeCell ref="I113:J113"/>
    <mergeCell ref="I114:J114"/>
    <mergeCell ref="I115:J115"/>
    <mergeCell ref="I116:J116"/>
    <mergeCell ref="L113:M113"/>
    <mergeCell ref="L114:M114"/>
    <mergeCell ref="L115:M115"/>
    <mergeCell ref="L116:M116"/>
    <mergeCell ref="C113:D113"/>
    <mergeCell ref="C114:D114"/>
    <mergeCell ref="C115:D115"/>
    <mergeCell ref="C116:D116"/>
    <mergeCell ref="F113:G113"/>
    <mergeCell ref="F114:G114"/>
    <mergeCell ref="F115:G115"/>
    <mergeCell ref="F116:G116"/>
    <mergeCell ref="C3:E3"/>
    <mergeCell ref="I3:K3"/>
    <mergeCell ref="L3:N3"/>
    <mergeCell ref="O3:Q3"/>
    <mergeCell ref="R3:T3"/>
    <mergeCell ref="F3:H3"/>
    <mergeCell ref="AJ3:AL3"/>
    <mergeCell ref="U3:W3"/>
    <mergeCell ref="X3:Z3"/>
    <mergeCell ref="AA3:AC3"/>
    <mergeCell ref="AD3:AF3"/>
    <mergeCell ref="AG3:AI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pef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Lando</dc:creator>
  <cp:lastModifiedBy>Tiraoro Luisa</cp:lastModifiedBy>
  <dcterms:created xsi:type="dcterms:W3CDTF">2020-09-23T09:41:28Z</dcterms:created>
  <dcterms:modified xsi:type="dcterms:W3CDTF">2020-12-11T12:21:43Z</dcterms:modified>
</cp:coreProperties>
</file>